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S:\EHLB\EHLB Staff Reports and Publications\_Papers &amp; Posters\IAQ 2021 - Ventilation and Filtration Considerations for Schools\final version as of July 2021\"/>
    </mc:Choice>
  </mc:AlternateContent>
  <xr:revisionPtr revIDLastSave="0" documentId="13_ncr:1_{06957C29-F24E-41B9-8C26-CAE1F2A6BAF5}" xr6:coauthVersionLast="45" xr6:coauthVersionMax="45" xr10:uidLastSave="{00000000-0000-0000-0000-000000000000}"/>
  <bookViews>
    <workbookView xWindow="-108" yWindow="-108" windowWidth="23256" windowHeight="12576" tabRatio="758" xr2:uid="{00000000-000D-0000-FFFF-FFFF00000000}"/>
  </bookViews>
  <sheets>
    <sheet name="Disclaimer" sheetId="15" r:id="rId1"/>
    <sheet name="Outputs Particle Removal ACH" sheetId="21" r:id="rId2"/>
    <sheet name="Outputs Relative Infection Risk" sheetId="16" r:id="rId3"/>
    <sheet name="Simplified User Inputs" sheetId="4" r:id="rId4"/>
    <sheet name="Other Default Inputs" sheetId="8" r:id="rId5"/>
    <sheet name="Other Calculations" sheetId="18" r:id="rId6"/>
    <sheet name="Simplified MERV Table " sheetId="7" r:id="rId7"/>
    <sheet name="Data Source for MERV Table" sheetId="19" r:id="rId8"/>
    <sheet name="Reference Case Definition" sheetId="1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18" l="1"/>
  <c r="C3" i="18"/>
  <c r="C21" i="18"/>
  <c r="C22" i="18"/>
  <c r="C23" i="18"/>
  <c r="C24" i="18"/>
  <c r="C12" i="18"/>
  <c r="C6" i="18"/>
  <c r="C13" i="18"/>
  <c r="C14" i="18"/>
  <c r="C17" i="18"/>
  <c r="C15" i="18"/>
  <c r="C18" i="18"/>
  <c r="C16" i="18"/>
  <c r="C19" i="18"/>
  <c r="C20" i="18"/>
  <c r="C11" i="18"/>
  <c r="C8" i="18"/>
  <c r="C5" i="18"/>
  <c r="C7" i="18"/>
  <c r="B3" i="21"/>
  <c r="C16" i="14"/>
  <c r="N3" i="7"/>
  <c r="M3" i="7"/>
  <c r="J4" i="7"/>
  <c r="I4" i="7"/>
  <c r="J3" i="7"/>
  <c r="I3" i="7"/>
  <c r="G4" i="7"/>
  <c r="G3" i="7"/>
  <c r="C25" i="14"/>
  <c r="C7" i="14"/>
  <c r="C27" i="14"/>
  <c r="C26" i="14"/>
  <c r="C23" i="14"/>
  <c r="C24" i="14"/>
  <c r="C22" i="14"/>
  <c r="C19" i="14"/>
  <c r="C11" i="14"/>
  <c r="C10" i="14"/>
  <c r="C5" i="14"/>
  <c r="C3" i="14"/>
  <c r="C4" i="14"/>
  <c r="C9" i="14"/>
  <c r="C6" i="14"/>
  <c r="C28" i="14"/>
  <c r="C29" i="14"/>
  <c r="C33" i="14"/>
  <c r="C17" i="14"/>
  <c r="C18" i="14"/>
  <c r="C20" i="14"/>
  <c r="C21" i="14"/>
  <c r="C34" i="14"/>
  <c r="C35" i="14"/>
  <c r="K3" i="7"/>
  <c r="L3" i="7"/>
  <c r="H4" i="7"/>
  <c r="H3" i="7"/>
  <c r="C14" i="14"/>
  <c r="C13" i="14"/>
  <c r="R5" i="7"/>
  <c r="Q5" i="7"/>
  <c r="P5" i="7"/>
  <c r="O5" i="7"/>
  <c r="N5" i="7"/>
  <c r="M5" i="7"/>
  <c r="L5" i="7"/>
  <c r="K5" i="7"/>
  <c r="J5" i="7"/>
  <c r="I5" i="7"/>
  <c r="H5" i="7"/>
  <c r="G5" i="7"/>
  <c r="F5" i="7"/>
  <c r="E5" i="7"/>
  <c r="D5" i="7"/>
  <c r="C5" i="7"/>
  <c r="R4" i="7"/>
  <c r="Q4" i="7"/>
  <c r="P4" i="7"/>
  <c r="O4" i="7"/>
  <c r="N4" i="7"/>
  <c r="M4" i="7"/>
  <c r="L4" i="7"/>
  <c r="K4" i="7"/>
  <c r="R3" i="7"/>
  <c r="Q3" i="7"/>
  <c r="P3" i="7"/>
  <c r="O3" i="7"/>
  <c r="C15" i="14"/>
  <c r="C40" i="14"/>
  <c r="C12" i="14"/>
  <c r="C36" i="14"/>
  <c r="B4" i="16"/>
  <c r="C9" i="18"/>
  <c r="C10" i="18"/>
  <c r="B5" i="21"/>
  <c r="B4" i="21"/>
  <c r="B6" i="21"/>
  <c r="B3" i="16"/>
  <c r="B5" i="16"/>
</calcChain>
</file>

<file path=xl/sharedStrings.xml><?xml version="1.0" encoding="utf-8"?>
<sst xmlns="http://schemas.openxmlformats.org/spreadsheetml/2006/main" count="495" uniqueCount="215">
  <si>
    <t>m</t>
  </si>
  <si>
    <t>Parameter</t>
  </si>
  <si>
    <t>1/h</t>
  </si>
  <si>
    <t>Room height (H)</t>
  </si>
  <si>
    <t>Room volume (V)</t>
  </si>
  <si>
    <t>person</t>
  </si>
  <si>
    <t>L/s-person</t>
  </si>
  <si>
    <t>Total supply air flow rate</t>
  </si>
  <si>
    <t xml:space="preserve">Pulmonary ventilation rate of a person </t>
  </si>
  <si>
    <t xml:space="preserve">Exposure time </t>
  </si>
  <si>
    <t>h</t>
  </si>
  <si>
    <t xml:space="preserve">Number of susceptible individuals </t>
  </si>
  <si>
    <t>Combined deposition removal rate for infectious particles</t>
  </si>
  <si>
    <t>If not known, use school bell schedule</t>
  </si>
  <si>
    <t>If not known, assume 1</t>
  </si>
  <si>
    <t>Category</t>
  </si>
  <si>
    <t>Units</t>
  </si>
  <si>
    <t>Note</t>
  </si>
  <si>
    <t>Classroom dimensions</t>
  </si>
  <si>
    <t>Removal by surface deposition</t>
  </si>
  <si>
    <t>Removal by HVAC filter</t>
  </si>
  <si>
    <t>Characteristics of the virus</t>
  </si>
  <si>
    <t xml:space="preserve">MERV rating </t>
  </si>
  <si>
    <t>Combined HVAC filter removal rate for infectious particles</t>
  </si>
  <si>
    <t>Combined portable air cleaner removal rate for infectious particles</t>
  </si>
  <si>
    <t>Default input value = 50%</t>
  </si>
  <si>
    <t>Fractional operation time of HVAC system</t>
  </si>
  <si>
    <t>Default input value = 100%</t>
  </si>
  <si>
    <t>Simplified MERV Table</t>
  </si>
  <si>
    <t>Percentage reduction of quanta generation rate due to wearing mask</t>
  </si>
  <si>
    <t>Total supply air flow (in ACH)</t>
  </si>
  <si>
    <t>Fraction of recirculated air in the total supply airflow</t>
  </si>
  <si>
    <t>Default input value = 3 m</t>
  </si>
  <si>
    <t>Default input value = 6 ACH</t>
  </si>
  <si>
    <t>Removal by ventilation and infiltration</t>
  </si>
  <si>
    <t xml:space="preserve">Infiltration rate (Q_infiltration) </t>
  </si>
  <si>
    <t>Air change rate due to infiltration</t>
  </si>
  <si>
    <t>Air change rate due to ventilation</t>
  </si>
  <si>
    <t>If not known, assume same as the number of infected individuals</t>
  </si>
  <si>
    <t xml:space="preserve">Automatically linked to "Simplified MERV Table" using the filter MERV rating that a user enters in "Simplified User Inputs" </t>
  </si>
  <si>
    <t>MERV Rating</t>
  </si>
  <si>
    <t>Removal by portable (in-room) air cleaner</t>
  </si>
  <si>
    <t>Probability of infection for reference case</t>
  </si>
  <si>
    <t>Probability of infection for simulated case</t>
  </si>
  <si>
    <t xml:space="preserve">Sum of ventilation and infiltration rate </t>
  </si>
  <si>
    <t xml:space="preserve">Air change rate due to ventilation + infiltration </t>
  </si>
  <si>
    <t>Assume no mask-wearing for the reference case</t>
  </si>
  <si>
    <t>n/a</t>
  </si>
  <si>
    <t xml:space="preserve">Classroom size </t>
  </si>
  <si>
    <t>Classroom occupancy</t>
  </si>
  <si>
    <t xml:space="preserve">IAQ control measures - Source control </t>
  </si>
  <si>
    <t>IAQ control measures - HVAC filter</t>
  </si>
  <si>
    <t>IAQ control measures - Portable air cleaner</t>
  </si>
  <si>
    <t xml:space="preserve">IAQ control measures - Portable air cleaner </t>
  </si>
  <si>
    <t>Occupant related</t>
  </si>
  <si>
    <t>Assume VR = 7 L/s-person (Title 24 code required minimum for the classroom defined) for the reference case</t>
  </si>
  <si>
    <t>Probability of infection given current inputs in this file</t>
  </si>
  <si>
    <t>Percent infection risk for simulated case compared to the reference case</t>
  </si>
  <si>
    <t>Output</t>
  </si>
  <si>
    <t>Notes</t>
  </si>
  <si>
    <r>
      <t>m</t>
    </r>
    <r>
      <rPr>
        <vertAlign val="superscript"/>
        <sz val="12"/>
        <color theme="1"/>
        <rFont val="Arial"/>
        <family val="2"/>
      </rPr>
      <t>2</t>
    </r>
  </si>
  <si>
    <r>
      <t>m</t>
    </r>
    <r>
      <rPr>
        <vertAlign val="superscript"/>
        <sz val="12"/>
        <color theme="1"/>
        <rFont val="Arial"/>
        <family val="2"/>
      </rPr>
      <t>3</t>
    </r>
    <r>
      <rPr>
        <sz val="12"/>
        <color theme="1"/>
        <rFont val="Arial"/>
        <family val="2"/>
      </rPr>
      <t>/h</t>
    </r>
  </si>
  <si>
    <t>Value Used for Reference Case</t>
  </si>
  <si>
    <t xml:space="preserve">Ventilation rate (Q_ventilation) </t>
  </si>
  <si>
    <t>%</t>
  </si>
  <si>
    <t xml:space="preserve">Room floor area </t>
  </si>
  <si>
    <t>Room occupancy</t>
  </si>
  <si>
    <r>
      <t>Default input value = 0.5 m</t>
    </r>
    <r>
      <rPr>
        <vertAlign val="superscript"/>
        <sz val="12"/>
        <color theme="1"/>
        <rFont val="Arial"/>
        <family val="2"/>
      </rPr>
      <t>3</t>
    </r>
    <r>
      <rPr>
        <sz val="12"/>
        <color theme="1"/>
        <rFont val="Arial"/>
        <family val="2"/>
      </rPr>
      <t xml:space="preserve">/h </t>
    </r>
  </si>
  <si>
    <r>
      <t>h</t>
    </r>
    <r>
      <rPr>
        <vertAlign val="superscript"/>
        <sz val="12"/>
        <color theme="1"/>
        <rFont val="Arial"/>
        <family val="2"/>
      </rPr>
      <t>-1</t>
    </r>
  </si>
  <si>
    <r>
      <t>Default input value = 1 h</t>
    </r>
    <r>
      <rPr>
        <vertAlign val="superscript"/>
        <sz val="12"/>
        <color theme="1"/>
        <rFont val="Arial"/>
        <family val="2"/>
      </rPr>
      <t>-1</t>
    </r>
  </si>
  <si>
    <r>
      <t>Default value = 0.2 h</t>
    </r>
    <r>
      <rPr>
        <vertAlign val="superscript"/>
        <sz val="12"/>
        <color theme="1"/>
        <rFont val="Arial"/>
        <family val="2"/>
      </rPr>
      <t>-1</t>
    </r>
  </si>
  <si>
    <r>
      <t>m</t>
    </r>
    <r>
      <rPr>
        <vertAlign val="superscript"/>
        <sz val="12"/>
        <color theme="1"/>
        <rFont val="Arial"/>
        <family val="2"/>
      </rPr>
      <t>3</t>
    </r>
  </si>
  <si>
    <r>
      <t>h</t>
    </r>
    <r>
      <rPr>
        <vertAlign val="superscript"/>
        <sz val="12"/>
        <color theme="1"/>
        <rFont val="Arial"/>
        <family val="2"/>
      </rPr>
      <t>-1</t>
    </r>
    <r>
      <rPr>
        <sz val="11"/>
        <color theme="1"/>
        <rFont val="Calibri"/>
        <family val="2"/>
        <scheme val="minor"/>
      </rPr>
      <t/>
    </r>
  </si>
  <si>
    <r>
      <t>m</t>
    </r>
    <r>
      <rPr>
        <vertAlign val="superscript"/>
        <sz val="12"/>
        <rFont val="Arial"/>
        <family val="2"/>
      </rPr>
      <t>3</t>
    </r>
    <r>
      <rPr>
        <sz val="12"/>
        <rFont val="Arial"/>
        <family val="2"/>
      </rPr>
      <t>/h</t>
    </r>
  </si>
  <si>
    <r>
      <t>h</t>
    </r>
    <r>
      <rPr>
        <vertAlign val="superscript"/>
        <sz val="12"/>
        <rFont val="Arial"/>
        <family val="2"/>
      </rPr>
      <t>-1</t>
    </r>
    <r>
      <rPr>
        <sz val="11"/>
        <color theme="1"/>
        <rFont val="Calibri"/>
        <family val="2"/>
        <scheme val="minor"/>
      </rPr>
      <t/>
    </r>
  </si>
  <si>
    <t>0</t>
  </si>
  <si>
    <t>1</t>
  </si>
  <si>
    <t>2</t>
  </si>
  <si>
    <t>3</t>
  </si>
  <si>
    <t>4</t>
  </si>
  <si>
    <t>5</t>
  </si>
  <si>
    <t>6</t>
  </si>
  <si>
    <t>7</t>
  </si>
  <si>
    <t>8</t>
  </si>
  <si>
    <t>9</t>
  </si>
  <si>
    <t>10</t>
  </si>
  <si>
    <t>11</t>
  </si>
  <si>
    <t>12</t>
  </si>
  <si>
    <t>13</t>
  </si>
  <si>
    <t>14</t>
  </si>
  <si>
    <t>15</t>
  </si>
  <si>
    <t>16</t>
  </si>
  <si>
    <t>not applicable</t>
  </si>
  <si>
    <t>Data source: ASHRAE 52.2-2017 Table J-2 &amp; Table 10 from Dillon and Sextro (2020)</t>
  </si>
  <si>
    <t xml:space="preserve">Dillon, M.B. and R.G. Sextro, Reducing Exposures to Airborne Particles Through Improved Filtration: A High-Level Modeling Analysis. medRxiv, 2020. </t>
  </si>
  <si>
    <t>ASHRAE 52.2-2017 Table J-2, Standard 52.2: Method of Testing General Ventilation Air-Cleaning Devices for Removal Efficiency by Particle Size. 2017, American Society of Heating, Refrigerating, and Air-Conditioning Engineers: Atlanta, GA.</t>
  </si>
  <si>
    <t>Calculated from VR and Room Volume</t>
  </si>
  <si>
    <t>Calculated from VR and Infiltration Rate</t>
  </si>
  <si>
    <t>Calculated from Default Inputs</t>
  </si>
  <si>
    <t>Calculated from VR and Total supply air flow rate</t>
  </si>
  <si>
    <t>Enter the floor area of the simulated classroom</t>
  </si>
  <si>
    <t>Enter the number of occupants</t>
  </si>
  <si>
    <t xml:space="preserve"> Default input taken from the simulated case</t>
  </si>
  <si>
    <t>User input taken from the simulated case</t>
  </si>
  <si>
    <t>Calculated from air change rate due to infiltration and Room Volume</t>
  </si>
  <si>
    <t>Calculated from Default Inputs taken from the simulated case</t>
  </si>
  <si>
    <t>Calculated from air cleaner removal rates for the three size bins</t>
  </si>
  <si>
    <t>Calculated from Filtration removal rates for the three size bins</t>
  </si>
  <si>
    <t>Calculated from sum of VR/Infiltration Rate and Room Volume</t>
  </si>
  <si>
    <t>due to outdoor air ventilation</t>
  </si>
  <si>
    <t>due to HVAC filter</t>
  </si>
  <si>
    <r>
      <t>h</t>
    </r>
    <r>
      <rPr>
        <vertAlign val="superscript"/>
        <sz val="12"/>
        <rFont val="Arial"/>
        <family val="2"/>
      </rPr>
      <t>-1</t>
    </r>
    <r>
      <rPr>
        <sz val="12"/>
        <rFont val="Arial"/>
        <family val="2"/>
      </rPr>
      <t xml:space="preserve"> (or ACH)</t>
    </r>
  </si>
  <si>
    <r>
      <t>h</t>
    </r>
    <r>
      <rPr>
        <b/>
        <vertAlign val="superscript"/>
        <sz val="12"/>
        <rFont val="Arial"/>
        <family val="2"/>
      </rPr>
      <t>-1</t>
    </r>
    <r>
      <rPr>
        <b/>
        <sz val="12"/>
        <rFont val="Arial"/>
        <family val="2"/>
      </rPr>
      <t xml:space="preserve"> (or ACH)</t>
    </r>
  </si>
  <si>
    <t>due to portable air cleaner(s)</t>
  </si>
  <si>
    <t>Blank</t>
  </si>
  <si>
    <t>CADR for dust (0.5–3 μm)</t>
  </si>
  <si>
    <t>CADR for pollen (5–11 μm)</t>
  </si>
  <si>
    <t xml:space="preserve">Infectious particles in size bin of 1–3 μm </t>
  </si>
  <si>
    <t xml:space="preserve">Infectious particles in size bin of 3–10 μm </t>
  </si>
  <si>
    <t xml:space="preserve">Infectious particles in size bin of 0.5–3 μm </t>
  </si>
  <si>
    <t xml:space="preserve">Infectious particles in size bin of 5–11 μm </t>
  </si>
  <si>
    <t xml:space="preserve">Deposition rate for size bin of 1–3 μm </t>
  </si>
  <si>
    <t xml:space="preserve">Deposition rate for size bin of 3–10 μm </t>
  </si>
  <si>
    <t xml:space="preserve">Filtration removal rate for size bin of 1–3 μm </t>
  </si>
  <si>
    <t xml:space="preserve">Filtration removal rate for size bin of 3–10 μm </t>
  </si>
  <si>
    <t xml:space="preserve">Air cleaner removal rate for size bin of 5–11 μm </t>
  </si>
  <si>
    <t xml:space="preserve">Infectious particles in size bin of 0.09–1 μm </t>
  </si>
  <si>
    <t xml:space="preserve">Air cleaner removal rate for size bin of 0.5–3 μm </t>
  </si>
  <si>
    <t xml:space="preserve">Deposition rate for size bin of 0.3–1 μm </t>
  </si>
  <si>
    <t xml:space="preserve">Infectious particles in size bin of 0.3–1 μm </t>
  </si>
  <si>
    <t xml:space="preserve">Filtration efficiency for size bin of 0.3–1 μm </t>
  </si>
  <si>
    <t xml:space="preserve">Filtration removal rate for size bin of 0.3–1 μm </t>
  </si>
  <si>
    <t xml:space="preserve">Air cleaner removal rate for size bin of 0.09–1 μm </t>
  </si>
  <si>
    <t>CADR for tobacco smoke (0.09–1 μm)</t>
  </si>
  <si>
    <t>Relative infection risk
(compared to the reference case)</t>
  </si>
  <si>
    <t>Total</t>
  </si>
  <si>
    <t>Number of infected individuals</t>
  </si>
  <si>
    <t xml:space="preserve">Enter 1 if Yes; or 0 if No </t>
  </si>
  <si>
    <t>IAQ control measures - Ventilation</t>
  </si>
  <si>
    <t>Assume a total of 100% covering 0.3–10 μm
Default input values = 20%, 30%, and 50% for infectious particles in size bins of 0.3–1 μm, 
1–3 μm, and 3–10 μm, respectively</t>
  </si>
  <si>
    <t>Assume a total of 100% covering 0.09–11 μm
Default input values = 20%, 30%, and 50% for infectious particles in size bins of 0.09–1 μm, 
0.5–3 μm, and 5–11 μm, respectively, used when evaluating the removal rate by portable air cleaner</t>
  </si>
  <si>
    <t>Filtration efficiency for size bin of 1–3 μm</t>
  </si>
  <si>
    <t>Calculated as the product of recirculated airflow rate, filter efficiency, and the fractional operation time of HVAC system, assuming average indoor concentration of infectious particles in the recirculated air entering the filter</t>
  </si>
  <si>
    <t>Filtration efficiency (%) for 3 μm</t>
  </si>
  <si>
    <t>Filtration efficiency (%) for 10 μm</t>
  </si>
  <si>
    <t>Filtration efficiency (%) for 0.1 μm</t>
  </si>
  <si>
    <t>Filtration efficiency (%) for 0.3 μm</t>
  </si>
  <si>
    <t>Filtration efficiency (%) for 1 μm</t>
  </si>
  <si>
    <t xml:space="preserve">Filtration efficiency for size bin of 3–10 μm </t>
  </si>
  <si>
    <t>Reference Case: Code-required minimum VR + MERV 8 filter + No mask + No portable air cleaner</t>
  </si>
  <si>
    <t>Appendix 3 Interactive Model (Version 1.1)</t>
  </si>
  <si>
    <t>Probability of infection given for the reference case
The IAQ control measures for the reference case are: 
code-required minimum ventilation (VR = 7 L/s-person) + MERV 8 filter 
+ No mask + No portable air cleaner. All other parameters used for the reference case are the same as those used for the simulated scenario case.</t>
  </si>
  <si>
    <t>Enter 0 if no filter/filter rating; or enter 1–16 for MERV 1–16 filters</t>
  </si>
  <si>
    <t xml:space="preserve">Infectious particles in size bin 0.3–1 μm </t>
  </si>
  <si>
    <t xml:space="preserve">Infectious particles in size bin 1–3 μm </t>
  </si>
  <si>
    <t xml:space="preserve">Infectious particles in size bin 3–10 μm </t>
  </si>
  <si>
    <t xml:space="preserve">Infectious particles in size bin 0.09–1 μm </t>
  </si>
  <si>
    <t xml:space="preserve">Infectious particles in size bin 0.5–3 μm </t>
  </si>
  <si>
    <t xml:space="preserve">Infectious particles in size bin 5–11 μm </t>
  </si>
  <si>
    <t xml:space="preserve">Deposition rate for size bin 0.3–1 μm </t>
  </si>
  <si>
    <t xml:space="preserve">Deposition rate for size bin 1–3 μm </t>
  </si>
  <si>
    <t xml:space="preserve">Deposition rate for size bin 3–10 μm </t>
  </si>
  <si>
    <t xml:space="preserve">Filtration efficiency for size bin 0.3–1 μm </t>
  </si>
  <si>
    <t>Filtration efficiency for size bin 1–3 μm</t>
  </si>
  <si>
    <t>Filtration efficiency for size bin 3–10 μm</t>
  </si>
  <si>
    <t xml:space="preserve">Filtration removal rate for size bin 0.3–1 μm </t>
  </si>
  <si>
    <t xml:space="preserve">Filtration removal rate for size bin 1–3 μm </t>
  </si>
  <si>
    <t xml:space="preserve">Filtration removal rate for size bin 3–10 μm </t>
  </si>
  <si>
    <t xml:space="preserve">Air cleaner removal rate for size bin 0.09–1 μm </t>
  </si>
  <si>
    <t xml:space="preserve">Air cleaner removal rate for size bin 0.5–3 μm </t>
  </si>
  <si>
    <t xml:space="preserve">Air cleaner removal rate for size bin 5–11 μm </t>
  </si>
  <si>
    <t>Calculated from User Inputs and Default Inputs</t>
  </si>
  <si>
    <t>Calculated from User Inputs</t>
  </si>
  <si>
    <t>Calculated from Default Inputs and Room Volume</t>
  </si>
  <si>
    <t>Calculated based on the CADRs that a user enters in "Simplified User Inputs," assuming portable air cleaner(s) run continuously when the classroom is occupied</t>
  </si>
  <si>
    <t>Filtration efficiency (%) for size bin 0.3–1 μm</t>
  </si>
  <si>
    <t>Filtration efficiency (%) for size bin 1–3 μm</t>
  </si>
  <si>
    <t xml:space="preserve">Filtration efficiency (%) for size bin 3–10 μm </t>
  </si>
  <si>
    <t>Calculated from User Inputs and Default Inputs taken from the simulated case</t>
  </si>
  <si>
    <t>Model Calculated Value</t>
  </si>
  <si>
    <t>Removal of Virus-containing Particles</t>
  </si>
  <si>
    <t>VR per person</t>
  </si>
  <si>
    <r>
      <t xml:space="preserve">Model Outputs </t>
    </r>
    <r>
      <rPr>
        <b/>
        <sz val="12"/>
        <color theme="1"/>
        <rFont val="Calibri"/>
        <family val="2"/>
      </rPr>
      <t>–</t>
    </r>
    <r>
      <rPr>
        <b/>
        <sz val="12"/>
        <color theme="1"/>
        <rFont val="Arial"/>
        <family val="2"/>
      </rPr>
      <t xml:space="preserve"> Relative Infection Risk</t>
    </r>
  </si>
  <si>
    <r>
      <t xml:space="preserve">Quanta generation rate </t>
    </r>
    <r>
      <rPr>
        <sz val="12"/>
        <rFont val="Calibri"/>
        <family val="2"/>
      </rPr>
      <t>–</t>
    </r>
    <r>
      <rPr>
        <sz val="12"/>
        <rFont val="Arial"/>
        <family val="2"/>
      </rPr>
      <t xml:space="preserve"> Original</t>
    </r>
  </si>
  <si>
    <r>
      <t xml:space="preserve">Quanta generation rate </t>
    </r>
    <r>
      <rPr>
        <sz val="12"/>
        <rFont val="Calibri"/>
        <family val="2"/>
      </rPr>
      <t>–</t>
    </r>
    <r>
      <rPr>
        <sz val="12"/>
        <rFont val="Arial"/>
        <family val="2"/>
      </rPr>
      <t xml:space="preserve"> including effect of wearing mask</t>
    </r>
  </si>
  <si>
    <r>
      <t xml:space="preserve">Ventilation rate (Q_ventilation) </t>
    </r>
    <r>
      <rPr>
        <sz val="12"/>
        <rFont val="Calibri"/>
        <family val="2"/>
      </rPr>
      <t>–</t>
    </r>
    <r>
      <rPr>
        <sz val="12"/>
        <rFont val="Arial"/>
        <family val="2"/>
      </rPr>
      <t xml:space="preserve"> Final</t>
    </r>
  </si>
  <si>
    <r>
      <t xml:space="preserve">Quanta generation rate </t>
    </r>
    <r>
      <rPr>
        <sz val="12"/>
        <color theme="1"/>
        <rFont val="Calibri"/>
        <family val="2"/>
      </rPr>
      <t>–</t>
    </r>
    <r>
      <rPr>
        <sz val="12"/>
        <color theme="1"/>
        <rFont val="Arial"/>
        <family val="2"/>
      </rPr>
      <t xml:space="preserve"> including effect of mask wearing</t>
    </r>
  </si>
  <si>
    <r>
      <t xml:space="preserve"> Assume the same particle size bins as those used for HVAC filter MERV ratings to simplify the calculation
Default input values = 0.14 h</t>
    </r>
    <r>
      <rPr>
        <vertAlign val="superscript"/>
        <sz val="12"/>
        <color theme="1"/>
        <rFont val="Arial"/>
        <family val="2"/>
      </rPr>
      <t>-1</t>
    </r>
    <r>
      <rPr>
        <sz val="12"/>
        <color theme="1"/>
        <rFont val="Arial"/>
        <family val="2"/>
      </rPr>
      <t>, 0.29 h</t>
    </r>
    <r>
      <rPr>
        <vertAlign val="superscript"/>
        <sz val="12"/>
        <color theme="1"/>
        <rFont val="Arial"/>
        <family val="2"/>
      </rPr>
      <t>-1</t>
    </r>
    <r>
      <rPr>
        <sz val="12"/>
        <color theme="1"/>
        <rFont val="Arial"/>
        <family val="2"/>
      </rPr>
      <t>, and 
0.91 h</t>
    </r>
    <r>
      <rPr>
        <vertAlign val="superscript"/>
        <sz val="12"/>
        <color theme="1"/>
        <rFont val="Arial"/>
        <family val="2"/>
      </rPr>
      <t>-1</t>
    </r>
    <r>
      <rPr>
        <sz val="12"/>
        <color theme="1"/>
        <rFont val="Arial"/>
        <family val="2"/>
      </rPr>
      <t xml:space="preserve"> for infectious particles in size bins of 
0.31 μm, 1–3 μm, and 3–10 μm, respectively</t>
    </r>
  </si>
  <si>
    <r>
      <t xml:space="preserve">Model Outputs </t>
    </r>
    <r>
      <rPr>
        <b/>
        <sz val="12"/>
        <color theme="1"/>
        <rFont val="Calibri"/>
        <family val="2"/>
      </rPr>
      <t>–</t>
    </r>
    <r>
      <rPr>
        <b/>
        <sz val="12"/>
        <color theme="1"/>
        <rFont val="Arial"/>
        <family val="2"/>
      </rPr>
      <t xml:space="preserve"> Total Particle Removal ACH</t>
    </r>
  </si>
  <si>
    <t>(see note for tobacco smoke CADR)</t>
  </si>
  <si>
    <t>(see note for filtration efficiency 
for size bin 0.3–1 μm)</t>
  </si>
  <si>
    <t>(see note for filtration removal rate 
for size bin 0.3–1 μm)</t>
  </si>
  <si>
    <t>(see note for deposition rate 
for size bin 0.3–1 μm)</t>
  </si>
  <si>
    <t>(see note for infectious particles 
in size bin 0.3–1 μm)</t>
  </si>
  <si>
    <t>(see note for air cleaner removal rate 
for size bin  0.09–1 μm)</t>
  </si>
  <si>
    <t>(see note for infectious particles 
in size bin 0.09–1 μm)</t>
  </si>
  <si>
    <t>(see note for filtration efficiency 
for size bin 0.3-1 μm)</t>
  </si>
  <si>
    <t>(see note for filtration removal efficiency rate
for size bin 0.3-1 μm)</t>
  </si>
  <si>
    <t>Assume no portable air cleaner 
for the reference case</t>
  </si>
  <si>
    <t>Assume MERV 8 HVAC filter 
for the reference case</t>
  </si>
  <si>
    <t>(see note for air cleaner removal rate 
for size bin  0.09-1 μm)</t>
  </si>
  <si>
    <t xml:space="preserve">Note: ASHRAE 52.2-2017 Table J-2 was used first. 
   To be conservative, we used the lower bound of the minimum, composite, average particle size removal efficiencies specified in ASHRAE 52.2 Table J-2 
(i.e., apply to MERV 14–16 filters for 0.3–1 μm particles, MERV 10–16 filters for 1–3 μm particles, 
and MERV 5–16 filters for 3–10 μm particles). 
   We also assumed a filtration efficiency of 65% for MERV 13 for 0.3–1 μm particles, 40% for MERV 9 
for 1–3 μm particles, and 10% for MERV 1–4 filters 
for 3–10 μm particles. 
   For low MERV-rating filters that do not have removal efficiencies specified in ASHRAE 52.2 Table J-2 
(i.e., MERV 1–12 filters for 0.3–1 μm particles, and MERV 1–8 filters for 1–3 μm particles), we used the 50th percentile of the cumulative filtration efficiency distributions (P50%) from Dillon and Sextro (2020) and further divided them by a factor of three to make a conservative estimate. 
   For filters of MERV 1–12, we used the average of P50% for 0.3 and 1 μm - for particles in the size range of 0.3–1 μm. 
   For filters of MERV 1–8, we used the average of P50% for 1 and 3 μm for particles of 1–3 μm. If P50% was not given for a specific MERV rating filter (i.e., MERV 1–4, 6, 9 and 10), we used the value for the closest lower MERV-rating filter. </t>
  </si>
  <si>
    <t>Total number of non-susceptible occupants 
(e.g., currently infected or immune 
due to previous recovery or vaccination)</t>
  </si>
  <si>
    <t>Consider wearing mask to reduce escape 
of virus-loaded particles from infected individuals?</t>
  </si>
  <si>
    <r>
      <t xml:space="preserve">Enter 0 if no portable air cleaner; or enter </t>
    </r>
    <r>
      <rPr>
        <b/>
        <i/>
        <sz val="12"/>
        <color theme="1"/>
        <rFont val="Arial"/>
        <family val="2"/>
      </rPr>
      <t xml:space="preserve">total </t>
    </r>
    <r>
      <rPr>
        <sz val="12"/>
        <color theme="1"/>
        <rFont val="Arial"/>
        <family val="2"/>
      </rPr>
      <t>CADR in m</t>
    </r>
    <r>
      <rPr>
        <vertAlign val="superscript"/>
        <sz val="12"/>
        <color theme="1"/>
        <rFont val="Arial"/>
        <family val="2"/>
      </rPr>
      <t>3</t>
    </r>
    <r>
      <rPr>
        <sz val="12"/>
        <color theme="1"/>
        <rFont val="Arial"/>
        <family val="2"/>
      </rPr>
      <t xml:space="preserve">/h 
(i.e., the CADR for tobacco smoke, dust, and pollen as provided by the manufacturer
</t>
    </r>
    <r>
      <rPr>
        <sz val="12"/>
        <color theme="1"/>
        <rFont val="Symbol"/>
        <family val="1"/>
        <charset val="2"/>
      </rPr>
      <t xml:space="preserve">´ </t>
    </r>
    <r>
      <rPr>
        <sz val="12"/>
        <color theme="1"/>
        <rFont val="Arial"/>
        <family val="2"/>
      </rPr>
      <t>the total number of portable air cleaners in the classroom)</t>
    </r>
  </si>
  <si>
    <r>
      <rPr>
        <sz val="12"/>
        <rFont val="Arial"/>
        <family val="2"/>
      </rPr>
      <t>Enter the VR per person
For example, the Title 24 code-required minimum outdoor air VRs for classrooms 
(age 9+)</t>
    </r>
    <r>
      <rPr>
        <sz val="12"/>
        <color theme="1"/>
        <rFont val="Arial"/>
        <family val="2"/>
      </rPr>
      <t xml:space="preserve"> are 7 L/s-person (15 CFM/person) or 1.93 L/s-m</t>
    </r>
    <r>
      <rPr>
        <vertAlign val="superscript"/>
        <sz val="12"/>
        <color theme="1"/>
        <rFont val="Arial"/>
        <family val="2"/>
      </rPr>
      <t>2</t>
    </r>
    <r>
      <rPr>
        <sz val="12"/>
        <color theme="1"/>
        <rFont val="Arial"/>
        <family val="2"/>
      </rPr>
      <t xml:space="preserve"> (0.38 CFM/ft</t>
    </r>
    <r>
      <rPr>
        <vertAlign val="superscript"/>
        <sz val="12"/>
        <color theme="1"/>
        <rFont val="Arial"/>
        <family val="2"/>
      </rPr>
      <t>2</t>
    </r>
    <r>
      <rPr>
        <sz val="12"/>
        <color theme="1"/>
        <rFont val="Arial"/>
        <family val="2"/>
      </rPr>
      <t>), whichever is larger. 
If the VR is given in another format, convert it to equivalent per person VR
first before entering.</t>
    </r>
  </si>
  <si>
    <t>Calculated based on the HVAC filter MERV rating and the recirculating airflow rate through the filter, 
assuming a constant total supply airflow rate of 6 ACH. 
The HVAC filter MERV rating is entered in "Simplified User Inputs." 
The 6 ACH total supply airflow rate is set in "Other Default Inputs" but users can change this input. 
The recirculating flow rate is then calculated as total supply airflow rate minus outdoor air VR.</t>
  </si>
  <si>
    <t>Calculated based on the total CADRs of selected portable air cleaners and room volume. 
The total CADRs and room floor area are entered in "Simplified User Inputs." 
The room volume is calculated as floor area times height (which is set as 3 m in "Other Default Inputs" but users can change this input).</t>
  </si>
  <si>
    <t xml:space="preserve">Total ACH = ACH due to outdoor air ventilation + HVAC filtration + portable air cleaner filtration; 
passive removal of particles (e.g., due to indoor surface deposition) are not summarized here 
but have been considered when calculating the relative infection risk. </t>
  </si>
  <si>
    <r>
      <t xml:space="preserve">Calculated based on the number of occupants, VR per person, and room volume. 
The number of occupants, ventilation rate per person, and room floor area are entered in "Simplified User Inputs."
The room volume is calculated as floor area </t>
    </r>
    <r>
      <rPr>
        <sz val="12"/>
        <color theme="1"/>
        <rFont val="Symbol"/>
        <family val="1"/>
        <charset val="2"/>
      </rPr>
      <t>´</t>
    </r>
    <r>
      <rPr>
        <sz val="12"/>
        <color theme="1"/>
        <rFont val="Arial"/>
        <family val="2"/>
      </rPr>
      <t xml:space="preserve"> height (which is set as </t>
    </r>
    <r>
      <rPr>
        <b/>
        <sz val="12"/>
        <color theme="1"/>
        <rFont val="Arial"/>
        <family val="2"/>
      </rPr>
      <t xml:space="preserve">3 </t>
    </r>
    <r>
      <rPr>
        <sz val="12"/>
        <color theme="1"/>
        <rFont val="Arial"/>
        <family val="2"/>
      </rPr>
      <t>m in "Other Default Inputs" 
but users can change this input).</t>
    </r>
  </si>
  <si>
    <r>
      <t>Disclaimer: This model, including the choice of default input values, is based on our best scientific knowledge, professional judgements, and the information currently available. The model is for illustrative purposes only. It provides rough estimates of the reduction of relative infection risk due to long-range, airborne viral transmission, based on the inputs that a user enters in the tabs of "Simplified User Inputs" and "Other Default Inputs"  and using simplified hypothetical scenarios. For details of model description, assumptions, and limitations, see the main document. Note that the formats of these interactive spreadsheets are slightly different from those described in the section of "Model Implementation" in the main document in order to be ADA-compliant.
   Update from Version 1.0 to 1.1: An "Outputs Particle Removal ACH" tab has been added. For detailed description, see Appendix F of the IAQ report entitled "</t>
    </r>
    <r>
      <rPr>
        <i/>
        <sz val="12"/>
        <color theme="1"/>
        <rFont val="Arial"/>
        <family val="2"/>
      </rPr>
      <t>Ventilation and Filtration to Reduce Long-range Airborne Transmission of COVID-19 and Other Respiratory Infections: Considerations for Reopened Schools.</t>
    </r>
    <r>
      <rPr>
        <sz val="12"/>
        <color theme="1"/>
        <rFont val="Arial"/>
        <family val="2"/>
      </rPr>
      <t xml:space="preserve">"   </t>
    </r>
  </si>
  <si>
    <t>User Input</t>
  </si>
  <si>
    <t>Model calculations based on users inputs and simplified MERV table</t>
  </si>
  <si>
    <r>
      <t>Simplified Model Inp</t>
    </r>
    <r>
      <rPr>
        <b/>
        <sz val="12"/>
        <rFont val="Arial"/>
        <family val="2"/>
      </rPr>
      <t xml:space="preserve">uts: Enter  (or overwrite) values in the "User Input" column </t>
    </r>
  </si>
  <si>
    <t xml:space="preserve">Other inputs with detailed knowledge of building operations and airborne transmission: Enter  (or overwrite) values in the "User Input" column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</si>
</sst>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1"/>
      <color theme="1"/>
      <name val="Calibri"/>
      <family val="2"/>
      <scheme val="minor"/>
    </font>
    <font>
      <b/>
      <sz val="11"/>
      <color rgb="FFFA7D00"/>
      <name val="Calibri"/>
      <family val="2"/>
      <scheme val="minor"/>
    </font>
    <font>
      <sz val="10"/>
      <color rgb="FF000000"/>
      <name val="Arial"/>
      <family val="2"/>
    </font>
    <font>
      <sz val="10"/>
      <color theme="1"/>
      <name val="Arial"/>
      <family val="2"/>
    </font>
    <font>
      <sz val="12"/>
      <color theme="1"/>
      <name val="Arial"/>
      <family val="2"/>
    </font>
    <font>
      <sz val="20"/>
      <color theme="1"/>
      <name val="Arial"/>
      <family val="2"/>
    </font>
    <font>
      <sz val="11"/>
      <color theme="1"/>
      <name val="Arial"/>
      <family val="2"/>
    </font>
    <font>
      <sz val="11"/>
      <color theme="0"/>
      <name val="Arial"/>
      <family val="2"/>
    </font>
    <font>
      <b/>
      <sz val="11"/>
      <color theme="0"/>
      <name val="Arial"/>
      <family val="2"/>
    </font>
    <font>
      <b/>
      <sz val="12"/>
      <color theme="1"/>
      <name val="Arial"/>
      <family val="2"/>
    </font>
    <font>
      <b/>
      <sz val="12"/>
      <name val="Arial"/>
      <family val="2"/>
    </font>
    <font>
      <sz val="10"/>
      <name val="Arial"/>
      <family val="2"/>
    </font>
    <font>
      <sz val="12"/>
      <name val="Arial"/>
      <family val="2"/>
    </font>
    <font>
      <vertAlign val="superscript"/>
      <sz val="12"/>
      <color theme="1"/>
      <name val="Arial"/>
      <family val="2"/>
    </font>
    <font>
      <b/>
      <i/>
      <sz val="12"/>
      <color theme="1"/>
      <name val="Arial"/>
      <family val="2"/>
    </font>
    <font>
      <b/>
      <sz val="12"/>
      <color rgb="FFC00000"/>
      <name val="Arial"/>
      <family val="2"/>
    </font>
    <font>
      <sz val="12"/>
      <color rgb="FFC00000"/>
      <name val="Arial"/>
      <family val="2"/>
    </font>
    <font>
      <vertAlign val="superscript"/>
      <sz val="12"/>
      <name val="Arial"/>
      <family val="2"/>
    </font>
    <font>
      <b/>
      <vertAlign val="superscript"/>
      <sz val="12"/>
      <name val="Arial"/>
      <family val="2"/>
    </font>
    <font>
      <i/>
      <sz val="12"/>
      <color theme="1"/>
      <name val="Arial"/>
      <family val="2"/>
    </font>
    <font>
      <sz val="12"/>
      <color theme="0"/>
      <name val="Arial"/>
      <family val="2"/>
    </font>
    <font>
      <sz val="12"/>
      <color theme="1"/>
      <name val="Symbol"/>
      <family val="1"/>
      <charset val="2"/>
    </font>
    <font>
      <sz val="11"/>
      <color theme="1"/>
      <name val="Calibri"/>
      <family val="2"/>
      <scheme val="minor"/>
    </font>
    <font>
      <b/>
      <sz val="12"/>
      <color theme="1"/>
      <name val="Calibri"/>
      <family val="2"/>
    </font>
    <font>
      <sz val="12"/>
      <name val="Calibri"/>
      <family val="2"/>
    </font>
    <font>
      <sz val="12"/>
      <color theme="1"/>
      <name val="Calibri"/>
      <family val="2"/>
    </font>
  </fonts>
  <fills count="7">
    <fill>
      <patternFill patternType="none"/>
    </fill>
    <fill>
      <patternFill patternType="gray125"/>
    </fill>
    <fill>
      <patternFill patternType="solid">
        <fgColor rgb="FFF2F2F2"/>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s>
  <cellStyleXfs count="4">
    <xf numFmtId="0" fontId="0" fillId="0" borderId="0"/>
    <xf numFmtId="0" fontId="1" fillId="2" borderId="1" applyNumberFormat="0" applyAlignment="0" applyProtection="0"/>
    <xf numFmtId="0" fontId="2" fillId="0" borderId="0"/>
    <xf numFmtId="9" fontId="22" fillId="0" borderId="0" applyFont="0" applyFill="0" applyBorder="0" applyAlignment="0" applyProtection="0"/>
  </cellStyleXfs>
  <cellXfs count="116">
    <xf numFmtId="0" fontId="0" fillId="0" borderId="0" xfId="0"/>
    <xf numFmtId="0" fontId="5" fillId="0" borderId="0" xfId="0" applyFont="1" applyAlignment="1">
      <alignment horizontal="left" vertical="center" wrapText="1"/>
    </xf>
    <xf numFmtId="0" fontId="5" fillId="0" borderId="0" xfId="0" applyFont="1" applyAlignment="1">
      <alignment vertical="center"/>
    </xf>
    <xf numFmtId="0" fontId="6" fillId="0" borderId="0" xfId="0" applyFont="1" applyAlignment="1">
      <alignment horizontal="center" vertical="center" wrapText="1"/>
    </xf>
    <xf numFmtId="0" fontId="6" fillId="0" borderId="0" xfId="0" applyFont="1"/>
    <xf numFmtId="0" fontId="7"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1" fontId="10" fillId="5" borderId="2" xfId="0" applyNumberFormat="1" applyFont="1" applyFill="1" applyBorder="1" applyAlignment="1">
      <alignment horizontal="center" vertical="center" wrapText="1"/>
    </xf>
    <xf numFmtId="0" fontId="4" fillId="0" borderId="0" xfId="0" applyFont="1"/>
    <xf numFmtId="0" fontId="3" fillId="0" borderId="0" xfId="0" applyFont="1"/>
    <xf numFmtId="0" fontId="11" fillId="0" borderId="7" xfId="0" applyFont="1" applyBorder="1" applyAlignment="1">
      <alignment horizontal="left" vertical="center" wrapText="1"/>
    </xf>
    <xf numFmtId="0" fontId="4"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10" fontId="12" fillId="0" borderId="2" xfId="0"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0" fontId="9" fillId="0" borderId="3" xfId="0" applyFont="1" applyBorder="1" applyAlignment="1">
      <alignment vertical="center"/>
    </xf>
    <xf numFmtId="0" fontId="4" fillId="0" borderId="0" xfId="0" applyFont="1" applyAlignment="1">
      <alignment horizontal="center" vertical="center" wrapText="1"/>
    </xf>
    <xf numFmtId="0" fontId="12" fillId="0" borderId="2" xfId="0" applyFont="1" applyBorder="1" applyAlignment="1">
      <alignment horizontal="center" vertical="center" wrapText="1"/>
    </xf>
    <xf numFmtId="9" fontId="10" fillId="5" borderId="2" xfId="0" applyNumberFormat="1" applyFont="1" applyFill="1" applyBorder="1" applyAlignment="1">
      <alignment horizontal="center" vertical="center" wrapText="1"/>
    </xf>
    <xf numFmtId="0" fontId="10" fillId="0" borderId="3" xfId="0" applyFont="1" applyBorder="1" applyAlignment="1">
      <alignment horizontal="left" vertical="center"/>
    </xf>
    <xf numFmtId="9" fontId="12" fillId="0" borderId="2" xfId="0" applyNumberFormat="1" applyFont="1" applyBorder="1" applyAlignment="1">
      <alignment horizontal="center" vertical="center" wrapText="1"/>
    </xf>
    <xf numFmtId="9" fontId="4" fillId="5" borderId="2" xfId="0" applyNumberFormat="1" applyFont="1" applyFill="1" applyBorder="1" applyAlignment="1">
      <alignment horizontal="center" vertical="center"/>
    </xf>
    <xf numFmtId="9" fontId="12" fillId="0" borderId="2" xfId="0" applyNumberFormat="1" applyFont="1" applyBorder="1" applyAlignment="1">
      <alignment horizontal="center" vertical="center"/>
    </xf>
    <xf numFmtId="9" fontId="12" fillId="5" borderId="2" xfId="0" applyNumberFormat="1" applyFont="1" applyFill="1" applyBorder="1" applyAlignment="1">
      <alignment horizontal="center" vertical="center"/>
    </xf>
    <xf numFmtId="9" fontId="12" fillId="0" borderId="2"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xf>
    <xf numFmtId="0" fontId="4" fillId="0" borderId="0" xfId="0" applyFont="1" applyFill="1"/>
    <xf numFmtId="9" fontId="12" fillId="0" borderId="2" xfId="0" applyNumberFormat="1" applyFont="1" applyFill="1" applyBorder="1" applyAlignment="1">
      <alignment horizontal="center" vertical="center"/>
    </xf>
    <xf numFmtId="0" fontId="4" fillId="0" borderId="0" xfId="0" applyFont="1" applyAlignment="1">
      <alignment wrapText="1"/>
    </xf>
    <xf numFmtId="0" fontId="4" fillId="0" borderId="0" xfId="2" applyFont="1" applyFill="1" applyAlignment="1">
      <alignment wrapText="1"/>
    </xf>
    <xf numFmtId="0" fontId="9" fillId="0" borderId="0" xfId="0" applyFont="1" applyAlignment="1">
      <alignment horizontal="center" vertical="center" wrapText="1"/>
    </xf>
    <xf numFmtId="16" fontId="4" fillId="0" borderId="0" xfId="0" applyNumberFormat="1" applyFont="1" applyAlignment="1">
      <alignment horizontal="center" vertical="center" wrapText="1"/>
    </xf>
    <xf numFmtId="0" fontId="15" fillId="0" borderId="3" xfId="0" applyFont="1" applyBorder="1" applyAlignment="1">
      <alignment vertical="center"/>
    </xf>
    <xf numFmtId="0" fontId="16" fillId="4" borderId="0"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5" fillId="0" borderId="3" xfId="0" applyFont="1" applyBorder="1" applyAlignment="1">
      <alignment horizontal="left" vertical="center"/>
    </xf>
    <xf numFmtId="0" fontId="12" fillId="0" borderId="3" xfId="0" applyFont="1" applyFill="1" applyBorder="1" applyAlignment="1">
      <alignment horizontal="left" vertical="center"/>
    </xf>
    <xf numFmtId="2" fontId="12" fillId="0" borderId="2" xfId="0" applyNumberFormat="1" applyFont="1" applyFill="1" applyBorder="1" applyAlignment="1">
      <alignment horizontal="center" vertical="center" wrapText="1"/>
    </xf>
    <xf numFmtId="2" fontId="12" fillId="0" borderId="2" xfId="1"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164" fontId="12" fillId="0" borderId="2" xfId="1" applyNumberFormat="1" applyFont="1" applyFill="1" applyBorder="1" applyAlignment="1">
      <alignment horizontal="center" vertical="center" wrapText="1"/>
    </xf>
    <xf numFmtId="9" fontId="12" fillId="0" borderId="2" xfId="1"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8" xfId="0" applyFont="1" applyBorder="1" applyAlignment="1">
      <alignment horizontal="center" vertical="center" wrapText="1"/>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2" fillId="0" borderId="6" xfId="0" applyFont="1" applyBorder="1" applyAlignment="1">
      <alignment horizontal="center" vertical="center" wrapText="1"/>
    </xf>
    <xf numFmtId="9" fontId="12" fillId="0" borderId="4" xfId="0" applyNumberFormat="1" applyFont="1" applyBorder="1" applyAlignment="1">
      <alignment horizontal="center" vertical="center" wrapText="1"/>
    </xf>
    <xf numFmtId="9" fontId="12" fillId="0" borderId="4" xfId="0" applyNumberFormat="1" applyFont="1" applyFill="1" applyBorder="1" applyAlignment="1">
      <alignment horizontal="center" vertical="center" wrapText="1"/>
    </xf>
    <xf numFmtId="9" fontId="12" fillId="0" borderId="4"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4"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12" fillId="0" borderId="8"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0" fillId="3" borderId="6" xfId="0" applyFont="1" applyFill="1" applyBorder="1" applyAlignment="1">
      <alignment horizontal="center" vertical="center" wrapText="1"/>
    </xf>
    <xf numFmtId="165" fontId="10" fillId="3" borderId="4" xfId="0" applyNumberFormat="1" applyFont="1" applyFill="1" applyBorder="1" applyAlignment="1">
      <alignment horizontal="center" vertical="center" wrapText="1"/>
    </xf>
    <xf numFmtId="0" fontId="4" fillId="6" borderId="12" xfId="0" applyFont="1" applyFill="1" applyBorder="1" applyAlignment="1">
      <alignment horizontal="center" vertical="center" wrapText="1"/>
    </xf>
    <xf numFmtId="0" fontId="15" fillId="0" borderId="3" xfId="0" applyFont="1" applyBorder="1" applyAlignment="1">
      <alignment horizontal="center" vertical="center"/>
    </xf>
    <xf numFmtId="0" fontId="11" fillId="0" borderId="7" xfId="0" applyFont="1" applyBorder="1" applyAlignment="1">
      <alignment horizontal="centerContinuous" vertical="center" wrapText="1"/>
    </xf>
    <xf numFmtId="0" fontId="6" fillId="0" borderId="0" xfId="0" applyFont="1" applyAlignment="1">
      <alignment horizontal="centerContinuous" wrapText="1"/>
    </xf>
    <xf numFmtId="0" fontId="4" fillId="0" borderId="0" xfId="0" applyFont="1" applyAlignment="1">
      <alignment horizontal="centerContinuous"/>
    </xf>
    <xf numFmtId="0" fontId="12" fillId="0" borderId="9" xfId="0" applyFont="1" applyBorder="1" applyAlignment="1">
      <alignment horizontal="center" vertical="center" wrapText="1"/>
    </xf>
    <xf numFmtId="164" fontId="12" fillId="0"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164" fontId="9" fillId="0" borderId="2" xfId="0" applyNumberFormat="1" applyFont="1" applyBorder="1" applyAlignment="1">
      <alignment horizontal="center" vertical="center" wrapText="1"/>
    </xf>
    <xf numFmtId="0" fontId="9" fillId="0" borderId="2" xfId="0" applyFont="1" applyFill="1" applyBorder="1" applyAlignment="1">
      <alignment horizontal="center" vertical="center" wrapText="1"/>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0" fontId="10" fillId="3" borderId="2" xfId="0" applyFont="1" applyFill="1" applyBorder="1" applyAlignment="1">
      <alignment horizontal="center" vertical="center" wrapText="1"/>
    </xf>
    <xf numFmtId="164" fontId="10" fillId="3" borderId="2" xfId="0" applyNumberFormat="1" applyFont="1" applyFill="1" applyBorder="1" applyAlignment="1">
      <alignment horizontal="center" vertical="center" wrapText="1"/>
    </xf>
    <xf numFmtId="165" fontId="10" fillId="3"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vertical="center"/>
    </xf>
    <xf numFmtId="164" fontId="6" fillId="0" borderId="0" xfId="0" applyNumberFormat="1" applyFont="1" applyAlignment="1">
      <alignment vertical="center"/>
    </xf>
    <xf numFmtId="164" fontId="6" fillId="0" borderId="0" xfId="0" applyNumberFormat="1" applyFont="1"/>
    <xf numFmtId="9" fontId="20" fillId="0" borderId="2" xfId="0" applyNumberFormat="1" applyFont="1" applyFill="1" applyBorder="1" applyAlignment="1">
      <alignment horizontal="center" vertical="center" wrapText="1"/>
    </xf>
    <xf numFmtId="0" fontId="10" fillId="0" borderId="0" xfId="0" applyFont="1" applyFill="1" applyBorder="1" applyAlignment="1">
      <alignment horizontal="left" vertical="center"/>
    </xf>
    <xf numFmtId="0" fontId="4" fillId="0" borderId="0" xfId="0" applyFont="1" applyAlignment="1"/>
    <xf numFmtId="0" fontId="9" fillId="0" borderId="0" xfId="0" applyFont="1" applyBorder="1" applyAlignment="1">
      <alignment vertical="center"/>
    </xf>
    <xf numFmtId="0" fontId="10" fillId="0" borderId="0" xfId="0" applyFont="1" applyBorder="1" applyAlignment="1">
      <alignment horizontal="left" vertical="center"/>
    </xf>
    <xf numFmtId="0" fontId="12" fillId="0" borderId="7" xfId="0" applyFont="1" applyBorder="1" applyAlignment="1">
      <alignment horizontal="left" vertical="center" wrapText="1"/>
    </xf>
    <xf numFmtId="0" fontId="10" fillId="0" borderId="2" xfId="0" applyFont="1" applyBorder="1" applyAlignment="1">
      <alignment horizontal="center" vertical="center"/>
    </xf>
    <xf numFmtId="1" fontId="12" fillId="0" borderId="2" xfId="1" applyNumberFormat="1" applyFont="1" applyFill="1" applyBorder="1" applyAlignment="1">
      <alignment horizontal="center" vertical="center" wrapText="1"/>
    </xf>
    <xf numFmtId="164" fontId="12" fillId="0" borderId="4" xfId="1" applyNumberFormat="1" applyFont="1" applyFill="1" applyBorder="1" applyAlignment="1">
      <alignment horizontal="center" vertical="center" wrapText="1"/>
    </xf>
    <xf numFmtId="1" fontId="10" fillId="5" borderId="2" xfId="1" applyNumberFormat="1" applyFont="1" applyFill="1" applyBorder="1" applyAlignment="1">
      <alignment horizontal="center" vertical="center" wrapText="1"/>
    </xf>
    <xf numFmtId="9" fontId="10" fillId="5" borderId="2" xfId="3" applyNumberFormat="1" applyFont="1" applyFill="1" applyBorder="1" applyAlignment="1">
      <alignment horizontal="center" vertical="center" wrapText="1"/>
    </xf>
    <xf numFmtId="0" fontId="10" fillId="0" borderId="3" xfId="0" applyFont="1" applyBorder="1" applyAlignment="1">
      <alignment vertical="center"/>
    </xf>
    <xf numFmtId="0" fontId="10" fillId="0" borderId="5" xfId="0" applyFont="1" applyFill="1" applyBorder="1" applyAlignment="1">
      <alignment horizontal="center" vertical="center" wrapText="1"/>
    </xf>
    <xf numFmtId="1" fontId="10" fillId="4" borderId="2" xfId="0" applyNumberFormat="1" applyFont="1" applyFill="1" applyBorder="1" applyAlignment="1" applyProtection="1">
      <alignment horizontal="center" vertical="center" wrapText="1"/>
      <protection locked="0"/>
    </xf>
    <xf numFmtId="1" fontId="10" fillId="4" borderId="4" xfId="0" applyNumberFormat="1" applyFont="1" applyFill="1" applyBorder="1" applyAlignment="1" applyProtection="1">
      <alignment horizontal="center" vertical="center" wrapText="1"/>
      <protection locked="0"/>
    </xf>
    <xf numFmtId="0" fontId="12" fillId="0" borderId="0" xfId="0" applyFont="1" applyFill="1" applyAlignment="1">
      <alignment horizontal="left" vertical="center" wrapText="1"/>
    </xf>
    <xf numFmtId="0" fontId="10" fillId="0" borderId="5" xfId="0" applyFont="1" applyBorder="1" applyAlignment="1">
      <alignment horizontal="center" vertical="center" wrapText="1"/>
    </xf>
    <xf numFmtId="164" fontId="10" fillId="0" borderId="2" xfId="0" applyNumberFormat="1" applyFont="1" applyFill="1" applyBorder="1" applyAlignment="1" applyProtection="1">
      <alignment horizontal="center" vertical="center" wrapText="1"/>
      <protection locked="0"/>
    </xf>
    <xf numFmtId="2" fontId="10" fillId="0" borderId="2" xfId="0" applyNumberFormat="1" applyFont="1" applyFill="1" applyBorder="1" applyAlignment="1" applyProtection="1">
      <alignment horizontal="center" vertical="center" wrapText="1"/>
      <protection locked="0"/>
    </xf>
    <xf numFmtId="9" fontId="10" fillId="4" borderId="2" xfId="0" applyNumberFormat="1" applyFont="1" applyFill="1" applyBorder="1" applyAlignment="1" applyProtection="1">
      <alignment horizontal="center" vertical="center" wrapText="1"/>
      <protection locked="0"/>
    </xf>
    <xf numFmtId="9" fontId="10" fillId="0" borderId="4" xfId="0" applyNumberFormat="1"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1" fontId="10" fillId="0" borderId="2" xfId="1" applyNumberFormat="1" applyFont="1" applyFill="1" applyBorder="1" applyAlignment="1">
      <alignment horizontal="center" vertical="center" wrapText="1"/>
    </xf>
    <xf numFmtId="164" fontId="10" fillId="0" borderId="2" xfId="1" applyNumberFormat="1" applyFont="1" applyFill="1" applyBorder="1" applyAlignment="1">
      <alignment horizontal="center" vertical="center" wrapText="1"/>
    </xf>
    <xf numFmtId="2" fontId="10" fillId="0" borderId="2" xfId="1" applyNumberFormat="1" applyFont="1" applyFill="1" applyBorder="1" applyAlignment="1">
      <alignment horizontal="center" vertical="center" wrapText="1"/>
    </xf>
    <xf numFmtId="2" fontId="10" fillId="4" borderId="2" xfId="1" applyNumberFormat="1" applyFont="1" applyFill="1" applyBorder="1" applyAlignment="1">
      <alignment horizontal="center" vertical="center" wrapText="1"/>
    </xf>
    <xf numFmtId="164" fontId="12" fillId="0" borderId="0" xfId="0" applyNumberFormat="1" applyFont="1" applyFill="1" applyAlignment="1">
      <alignment horizontal="center" vertical="center" wrapText="1"/>
    </xf>
  </cellXfs>
  <cellStyles count="4">
    <cellStyle name="Calculation" xfId="1" builtinId="22"/>
    <cellStyle name="Normal" xfId="0" builtinId="0"/>
    <cellStyle name="Normal_Sheet1" xfId="2" xr:uid="{00000000-0005-0000-0000-000002000000}"/>
    <cellStyle name="Percent" xfId="3" builtinId="5"/>
  </cellStyles>
  <dxfs count="77">
    <dxf>
      <font>
        <b/>
        <i val="0"/>
        <strike val="0"/>
        <condense val="0"/>
        <extend val="0"/>
        <outline val="0"/>
        <shadow val="0"/>
        <u val="none"/>
        <vertAlign val="baseline"/>
        <sz val="12"/>
        <color auto="1"/>
        <name val="Arial"/>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numFmt numFmtId="13" formatCode="0%"/>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auto="1"/>
        <name val="Arial"/>
        <scheme val="none"/>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scheme val="none"/>
      </font>
      <numFmt numFmtId="13" formatCode="0%"/>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rgb="FFFFFF00"/>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Arial"/>
        <scheme val="none"/>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border outline="0">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alignment horizontal="center" vertical="center" textRotation="0" indent="0" justifyLastLine="0" shrinkToFit="0" readingOrder="0"/>
      <border diagonalUp="0" diagonalDown="0" outline="0">
        <left style="thin">
          <color auto="1"/>
        </left>
        <right style="thin">
          <color auto="1"/>
        </right>
        <top style="thin">
          <color auto="1"/>
        </top>
        <bottom style="thin">
          <color auto="1"/>
        </bottom>
      </border>
    </dxf>
    <dxf>
      <numFmt numFmtId="164" formatCode="0.0"/>
      <alignment horizontal="center" vertical="center" textRotation="0" indent="0" justifyLastLine="0" shrinkToFit="0" readingOrder="0"/>
      <border diagonalUp="0" diagonalDown="0" outline="0">
        <left style="thin">
          <color auto="1"/>
        </left>
        <right style="thin">
          <color auto="1"/>
        </right>
        <top style="thin">
          <color auto="1"/>
        </top>
        <bottom style="thin">
          <color auto="1"/>
        </bottom>
      </border>
    </dxf>
    <dxf>
      <alignment horizontal="center" vertical="center" textRotation="0"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alignment horizontal="center" vertical="center" textRotation="0" indent="0" justifyLastLine="0" shrinkToFit="0" readingOrder="0"/>
    </dxf>
    <dxf>
      <border outline="0">
        <bottom style="thin">
          <color auto="1"/>
        </bottom>
      </border>
    </dxf>
    <dxf>
      <alignment horizontal="center" vertical="bottom" textRotation="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Table410" displayName="Table410" ref="A2:D5" totalsRowShown="0" headerRowDxfId="76" dataDxfId="74" headerRowBorderDxfId="75" tableBorderDxfId="73" totalsRowBorderDxfId="72">
  <tableColumns count="4">
    <tableColumn id="1" xr3:uid="{00000000-0010-0000-0000-000001000000}" name="Removal of Virus-containing Particles" dataDxfId="71"/>
    <tableColumn id="2" xr3:uid="{00000000-0010-0000-0000-000002000000}" name="Output" dataDxfId="70"/>
    <tableColumn id="4" xr3:uid="{00000000-0010-0000-0000-000004000000}" name="Units" dataDxfId="69"/>
    <tableColumn id="3" xr3:uid="{00000000-0010-0000-0000-000003000000}" name="Notes" dataDxfId="68"/>
  </tableColumns>
  <tableStyleInfo showFirstColumn="0" showLastColumn="0" showRowStripes="1" showColumnStripes="0"/>
  <extLst>
    <ext xmlns:x14="http://schemas.microsoft.com/office/spreadsheetml/2009/9/main" uri="{504A1905-F514-4f6f-8877-14C23A59335A}">
      <x14:table altText="Model Outputs as seen by end users - total particle removal ACH" altTextSummary="Removal of virus containing partices due to different process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2:C5" totalsRowShown="0" headerRowBorderDxfId="67" tableBorderDxfId="66" totalsRowBorderDxfId="65">
  <tableColumns count="3">
    <tableColumn id="1" xr3:uid="{00000000-0010-0000-0100-000001000000}" name="Category"/>
    <tableColumn id="2" xr3:uid="{00000000-0010-0000-0100-000002000000}" name="Output"/>
    <tableColumn id="3" xr3:uid="{00000000-0010-0000-0100-000003000000}" name="Notes"/>
  </tableColumns>
  <tableStyleInfo showFirstColumn="0" showLastColumn="0" showRowStripes="1" showColumnStripes="0"/>
  <extLst>
    <ext xmlns:x14="http://schemas.microsoft.com/office/spreadsheetml/2009/9/main" uri="{504A1905-F514-4f6f-8877-14C23A59335A}">
      <x14:table altText="Model outputs as seen by end users - relative infection risk" altTextSummary="Relative infection risk compared to the reference case.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E13" totalsRowShown="0" headerRowDxfId="64" headerRowBorderDxfId="63" tableBorderDxfId="62" totalsRowBorderDxfId="61">
  <tableColumns count="5">
    <tableColumn id="1" xr3:uid="{00000000-0010-0000-0200-000001000000}" name="Category" dataDxfId="60"/>
    <tableColumn id="2" xr3:uid="{00000000-0010-0000-0200-000002000000}" name="Parameter" dataDxfId="59"/>
    <tableColumn id="3" xr3:uid="{00000000-0010-0000-0200-000003000000}" name="User Input" dataDxfId="58"/>
    <tableColumn id="4" xr3:uid="{00000000-0010-0000-0200-000004000000}" name="Units" dataDxfId="57"/>
    <tableColumn id="5" xr3:uid="{00000000-0010-0000-0200-000005000000}" name="Note" dataDxfId="56"/>
  </tableColumns>
  <tableStyleInfo showFirstColumn="0" showLastColumn="0" showRowStripes="1" showColumnStripes="0"/>
  <extLst>
    <ext xmlns:x14="http://schemas.microsoft.com/office/spreadsheetml/2009/9/main" uri="{504A1905-F514-4f6f-8877-14C23A59335A}">
      <x14:table altText="Simplified model inputs by end users - user inputs" altTextSummary="Various user imputs for the model."/>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2:E18" totalsRowShown="0" headerRowDxfId="55" headerRowBorderDxfId="54" tableBorderDxfId="53" totalsRowBorderDxfId="52">
  <tableColumns count="5">
    <tableColumn id="1" xr3:uid="{00000000-0010-0000-0300-000001000000}" name="Category" dataDxfId="51"/>
    <tableColumn id="2" xr3:uid="{00000000-0010-0000-0300-000002000000}" name="Parameter" dataDxfId="50"/>
    <tableColumn id="3" xr3:uid="{00000000-0010-0000-0300-000003000000}" name="User Input" dataDxfId="49"/>
    <tableColumn id="4" xr3:uid="{00000000-0010-0000-0300-000004000000}" name="Units" dataDxfId="48"/>
    <tableColumn id="5" xr3:uid="{00000000-0010-0000-0300-000005000000}" name="Note" dataDxfId="47"/>
  </tableColumns>
  <tableStyleInfo showFirstColumn="0" showLastColumn="0" showRowStripes="1" showColumnStripes="0"/>
  <extLst>
    <ext xmlns:x14="http://schemas.microsoft.com/office/spreadsheetml/2009/9/main" uri="{504A1905-F514-4f6f-8877-14C23A59335A}">
      <x14:table altText="Other inputs with detailed knowledge of building operations adn airborne transmission" altTextSummary="Other default inputs requiring more specialized knowledge.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2:E24" totalsRowShown="0" headerRowDxfId="46" headerRowBorderDxfId="45" tableBorderDxfId="44">
  <tableColumns count="5">
    <tableColumn id="1" xr3:uid="{00000000-0010-0000-0400-000001000000}" name="Category" dataDxfId="43"/>
    <tableColumn id="2" xr3:uid="{00000000-0010-0000-0400-000002000000}" name="Parameter" dataDxfId="42"/>
    <tableColumn id="3" xr3:uid="{00000000-0010-0000-0400-000003000000}" name="Model Calculated Value" dataDxfId="41" dataCellStyle="Calculation"/>
    <tableColumn id="4" xr3:uid="{00000000-0010-0000-0400-000004000000}" name="Units" dataDxfId="40"/>
    <tableColumn id="5" xr3:uid="{00000000-0010-0000-0400-000005000000}" name="Note" dataDxfId="39"/>
  </tableColumns>
  <tableStyleInfo showFirstColumn="0" showLastColumn="0" showRowStripes="1" showColumnStripes="0"/>
  <extLst>
    <ext xmlns:x14="http://schemas.microsoft.com/office/spreadsheetml/2009/9/main" uri="{504A1905-F514-4f6f-8877-14C23A59335A}">
      <x14:table altText="Model calculations based on users inputs and simplified MERV table" altTextSummary="Calculated values based on user input"/>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A2:R6" totalsRowShown="0" headerRowDxfId="38" dataDxfId="37">
  <tableColumns count="18">
    <tableColumn id="1" xr3:uid="{00000000-0010-0000-0500-000001000000}" name="MERV Rating" dataDxfId="36"/>
    <tableColumn id="2" xr3:uid="{00000000-0010-0000-0500-000002000000}" name="0" dataDxfId="35"/>
    <tableColumn id="3" xr3:uid="{00000000-0010-0000-0500-000003000000}" name="1"/>
    <tableColumn id="4" xr3:uid="{00000000-0010-0000-0500-000004000000}" name="2"/>
    <tableColumn id="5" xr3:uid="{00000000-0010-0000-0500-000005000000}" name="3"/>
    <tableColumn id="6" xr3:uid="{00000000-0010-0000-0500-000006000000}" name="4"/>
    <tableColumn id="7" xr3:uid="{00000000-0010-0000-0500-000007000000}" name="5"/>
    <tableColumn id="8" xr3:uid="{00000000-0010-0000-0500-000008000000}" name="6"/>
    <tableColumn id="9" xr3:uid="{00000000-0010-0000-0500-000009000000}" name="7"/>
    <tableColumn id="10" xr3:uid="{00000000-0010-0000-0500-00000A000000}" name="8"/>
    <tableColumn id="11" xr3:uid="{00000000-0010-0000-0500-00000B000000}" name="9"/>
    <tableColumn id="12" xr3:uid="{00000000-0010-0000-0500-00000C000000}" name="10"/>
    <tableColumn id="13" xr3:uid="{00000000-0010-0000-0500-00000D000000}" name="11"/>
    <tableColumn id="14" xr3:uid="{00000000-0010-0000-0500-00000E000000}" name="12"/>
    <tableColumn id="15" xr3:uid="{00000000-0010-0000-0500-00000F000000}" name="13" dataDxfId="34">
      <calculatedColumnFormula>90/100</calculatedColumnFormula>
    </tableColumn>
    <tableColumn id="16" xr3:uid="{00000000-0010-0000-0500-000010000000}" name="14" dataDxfId="33">
      <calculatedColumnFormula>90/100</calculatedColumnFormula>
    </tableColumn>
    <tableColumn id="17" xr3:uid="{00000000-0010-0000-0500-000011000000}" name="15" dataDxfId="32">
      <calculatedColumnFormula>90/100</calculatedColumnFormula>
    </tableColumn>
    <tableColumn id="18" xr3:uid="{00000000-0010-0000-0500-000012000000}" name="16" dataDxfId="31">
      <calculatedColumnFormula>95/100</calculatedColumnFormula>
    </tableColumn>
  </tableColumns>
  <tableStyleInfo showFirstColumn="0" showLastColumn="0" showRowStripes="1" showColumnStripes="0"/>
  <extLst>
    <ext xmlns:x14="http://schemas.microsoft.com/office/spreadsheetml/2009/9/main" uri="{504A1905-F514-4f6f-8877-14C23A59335A}">
      <x14:table altText="Simplified MERV Table" altTextSummary="MERV table used as filtration efficiency for various particle size bins and different MERV filter rating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2:R7" totalsRowShown="0" headerRowDxfId="30" headerRowBorderDxfId="29" tableBorderDxfId="28" totalsRowBorderDxfId="27">
  <tableColumns count="18">
    <tableColumn id="1" xr3:uid="{00000000-0010-0000-0600-000001000000}" name="MERV Rating" dataDxfId="26"/>
    <tableColumn id="2" xr3:uid="{00000000-0010-0000-0600-000002000000}" name="0" dataDxfId="25"/>
    <tableColumn id="3" xr3:uid="{00000000-0010-0000-0600-000003000000}" name="1" dataDxfId="24"/>
    <tableColumn id="4" xr3:uid="{00000000-0010-0000-0600-000004000000}" name="2" dataDxfId="23"/>
    <tableColumn id="5" xr3:uid="{00000000-0010-0000-0600-000005000000}" name="3" dataDxfId="22"/>
    <tableColumn id="6" xr3:uid="{00000000-0010-0000-0600-000006000000}" name="4" dataDxfId="21"/>
    <tableColumn id="7" xr3:uid="{00000000-0010-0000-0600-000007000000}" name="5" dataDxfId="20"/>
    <tableColumn id="8" xr3:uid="{00000000-0010-0000-0600-000008000000}" name="6" dataDxfId="19"/>
    <tableColumn id="9" xr3:uid="{00000000-0010-0000-0600-000009000000}" name="7" dataDxfId="18"/>
    <tableColumn id="10" xr3:uid="{00000000-0010-0000-0600-00000A000000}" name="8" dataDxfId="17"/>
    <tableColumn id="11" xr3:uid="{00000000-0010-0000-0600-00000B000000}" name="9" dataDxfId="16"/>
    <tableColumn id="12" xr3:uid="{00000000-0010-0000-0600-00000C000000}" name="10" dataDxfId="15"/>
    <tableColumn id="13" xr3:uid="{00000000-0010-0000-0600-00000D000000}" name="11" dataDxfId="14"/>
    <tableColumn id="14" xr3:uid="{00000000-0010-0000-0600-00000E000000}" name="12" dataDxfId="13"/>
    <tableColumn id="15" xr3:uid="{00000000-0010-0000-0600-00000F000000}" name="13" dataDxfId="12"/>
    <tableColumn id="16" xr3:uid="{00000000-0010-0000-0600-000010000000}" name="14" dataDxfId="11"/>
    <tableColumn id="17" xr3:uid="{00000000-0010-0000-0600-000011000000}" name="15" dataDxfId="10"/>
    <tableColumn id="18" xr3:uid="{00000000-0010-0000-0600-000012000000}" name="16" dataDxfId="9"/>
  </tableColumns>
  <tableStyleInfo showFirstColumn="0" showLastColumn="0" showRowStripes="1" showColumnStripes="0"/>
  <extLst>
    <ext xmlns:x14="http://schemas.microsoft.com/office/spreadsheetml/2009/9/main" uri="{504A1905-F514-4f6f-8877-14C23A59335A}">
      <x14:table altText="ASHRAE 52.2-20017 Table J-2 and Table 10 from Dillon and Sextro (2020)" altTextSummary="Tables used for various filtration efficiencies and MERV filter rating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Table2" displayName="Table2" ref="A2:E40" totalsRowShown="0" headerRowDxfId="8" headerRowBorderDxfId="7" tableBorderDxfId="6" totalsRowBorderDxfId="5">
  <tableColumns count="5">
    <tableColumn id="1" xr3:uid="{00000000-0010-0000-0700-000001000000}" name="Category" dataDxfId="4"/>
    <tableColumn id="2" xr3:uid="{00000000-0010-0000-0700-000002000000}" name="Parameter" dataDxfId="3"/>
    <tableColumn id="3" xr3:uid="{00000000-0010-0000-0700-000003000000}" name="Value Used for Reference Case" dataDxfId="2"/>
    <tableColumn id="4" xr3:uid="{00000000-0010-0000-0700-000004000000}" name="Units" dataDxfId="1"/>
    <tableColumn id="5" xr3:uid="{00000000-0010-0000-0700-000005000000}" name="Note" dataDxfId="0"/>
  </tableColumns>
  <tableStyleInfo showFirstColumn="0" showLastColumn="0" showRowStripes="1" showColumnStripes="0"/>
  <extLst>
    <ext xmlns:x14="http://schemas.microsoft.com/office/spreadsheetml/2009/9/main" uri="{504A1905-F514-4f6f-8877-14C23A59335A}">
      <x14:table altText="Reference Case" altTextSummary="Values used for reference case with code-required minimum VR, MERV 8 filter, no mask, and no portable air cleaner.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cbi.nlm.nih.gov/pmc/articles/PMC4734356/" TargetMode="External"/><Relationship Id="rId18" Type="http://schemas.openxmlformats.org/officeDocument/2006/relationships/hyperlink" Target="https://medium.com/@jjose_19945/how-to-quantify-the-ventilation-rate-of-an-indoor-space-using-a-cheap-co2-monitor-4d8b6d4dab44?source=friends_link&amp;sk=6cda52f5682a4a450a10691f07d1ad2c" TargetMode="External"/><Relationship Id="rId26" Type="http://schemas.openxmlformats.org/officeDocument/2006/relationships/hyperlink" Target="https://www.nejm.org/doi/full/10.1056/nejmc2004973" TargetMode="External"/><Relationship Id="rId39" Type="http://schemas.openxmlformats.org/officeDocument/2006/relationships/hyperlink" Target="https://covid19-projections.com/" TargetMode="External"/><Relationship Id="rId21" Type="http://schemas.openxmlformats.org/officeDocument/2006/relationships/hyperlink" Target="https://onlinelibrary.wiley.com/doi/full/10.1111/ina.12111" TargetMode="External"/><Relationship Id="rId34" Type="http://schemas.openxmlformats.org/officeDocument/2006/relationships/hyperlink" Target="https://www.medrxiv.org/content/10.1101/2020.06.26.20141085v1" TargetMode="External"/><Relationship Id="rId42" Type="http://schemas.openxmlformats.org/officeDocument/2006/relationships/hyperlink" Target="https://covid19-projections.com/" TargetMode="External"/><Relationship Id="rId7" Type="http://schemas.openxmlformats.org/officeDocument/2006/relationships/hyperlink" Target="https://www.medrxiv.org/content/10.1101/2020.06.01.20118984v1" TargetMode="External"/><Relationship Id="rId2" Type="http://schemas.openxmlformats.org/officeDocument/2006/relationships/hyperlink" Target="https://academic.oup.com/aje/article-abstract/107/5/421/58522" TargetMode="External"/><Relationship Id="rId16" Type="http://schemas.openxmlformats.org/officeDocument/2006/relationships/hyperlink" Target="http://coolvent.mit.edu/" TargetMode="External"/><Relationship Id="rId29" Type="http://schemas.openxmlformats.org/officeDocument/2006/relationships/hyperlink" Target="https://academic.oup.com/jid/advance-article/doi/10.1093/infdis/jiaa334/5856149" TargetMode="External"/><Relationship Id="rId1" Type="http://schemas.openxmlformats.org/officeDocument/2006/relationships/hyperlink" Target="https://www.medrxiv.org/content/10.1101/2020.06.15.20132027v1" TargetMode="External"/><Relationship Id="rId6" Type="http://schemas.openxmlformats.org/officeDocument/2006/relationships/hyperlink" Target="https://www.sciencedirect.com/science/article/pii/S0160412020312800" TargetMode="External"/><Relationship Id="rId11" Type="http://schemas.openxmlformats.org/officeDocument/2006/relationships/hyperlink" Target="https://www.healthline.com/health-news/certain-type-n95-mask-harm-covid19-spread" TargetMode="External"/><Relationship Id="rId24" Type="http://schemas.openxmlformats.org/officeDocument/2006/relationships/hyperlink" Target="https://www.ashrae.org/technical-resources/bookstore/standards-62-1-62-2" TargetMode="External"/><Relationship Id="rId32" Type="http://schemas.openxmlformats.org/officeDocument/2006/relationships/hyperlink" Target="https://www.sciencedirect.com/science/article/abs/pii/S1296207418305922?via%3Dihub" TargetMode="External"/><Relationship Id="rId37" Type="http://schemas.openxmlformats.org/officeDocument/2006/relationships/hyperlink" Target="https://www.descarteslabs.com/resources/covid-19-now" TargetMode="External"/><Relationship Id="rId40" Type="http://schemas.openxmlformats.org/officeDocument/2006/relationships/hyperlink" Target="https://covid.joinzoe.com/data" TargetMode="External"/><Relationship Id="rId45" Type="http://schemas.openxmlformats.org/officeDocument/2006/relationships/printerSettings" Target="../printerSettings/printerSettings1.bin"/><Relationship Id="rId5" Type="http://schemas.openxmlformats.org/officeDocument/2006/relationships/hyperlink" Target="https://www.medrxiv.org/content/10.1101/2020.06.15.20132027v1" TargetMode="External"/><Relationship Id="rId15" Type="http://schemas.openxmlformats.org/officeDocument/2006/relationships/hyperlink" Target="https://www.ncbi.nlm.nih.gov/pmc/articles/PMC4734356/" TargetMode="External"/><Relationship Id="rId23" Type="http://schemas.openxmlformats.org/officeDocument/2006/relationships/hyperlink" Target="https://onlinelibrary.wiley.com/doi/full/10.1111/ina.12272" TargetMode="External"/><Relationship Id="rId28" Type="http://schemas.openxmlformats.org/officeDocument/2006/relationships/hyperlink" Target="https://www.tandfonline.com/doi/full/10.1080/22221751.2020.1777906" TargetMode="External"/><Relationship Id="rId36" Type="http://schemas.openxmlformats.org/officeDocument/2006/relationships/hyperlink" Target="https://sites.google.com/compassfortcollins.org/coronavirusrisk/home" TargetMode="External"/><Relationship Id="rId10" Type="http://schemas.openxmlformats.org/officeDocument/2006/relationships/hyperlink" Target="https://pubmed.ncbi.nlm.nih.gov/24229526/" TargetMode="External"/><Relationship Id="rId19" Type="http://schemas.openxmlformats.org/officeDocument/2006/relationships/hyperlink" Target="https://www.sciencedirect.com/science/article/abs/pii/S1352231007008758" TargetMode="External"/><Relationship Id="rId31" Type="http://schemas.openxmlformats.org/officeDocument/2006/relationships/hyperlink" Target="https://www.sciencedirect.com/science/article/abs/pii/S1352231002001577" TargetMode="External"/><Relationship Id="rId44" Type="http://schemas.openxmlformats.org/officeDocument/2006/relationships/hyperlink" Target="https://twitter.com/jljcolorado/status/1275466006312304640" TargetMode="External"/><Relationship Id="rId4" Type="http://schemas.openxmlformats.org/officeDocument/2006/relationships/hyperlink" Target="https://www.medrxiv.org/content/10.1101/2020.06.01.20118984v1" TargetMode="External"/><Relationship Id="rId9" Type="http://schemas.openxmlformats.org/officeDocument/2006/relationships/hyperlink" Target="https://twitter.com/jljcolorado/status/1280935408398766080" TargetMode="External"/><Relationship Id="rId14" Type="http://schemas.openxmlformats.org/officeDocument/2006/relationships/hyperlink" Target="https://pubmed.ncbi.nlm.nih.gov/24229526/" TargetMode="External"/><Relationship Id="rId22" Type="http://schemas.openxmlformats.org/officeDocument/2006/relationships/hyperlink" Target="https://onlinelibrary.wiley.com/doi/full/10.1111/j.1600-0668.2012.00769.x" TargetMode="External"/><Relationship Id="rId27" Type="http://schemas.openxmlformats.org/officeDocument/2006/relationships/hyperlink" Target="https://www.medrxiv.org/content/10.1101/2020.04.13.20063784v1" TargetMode="External"/><Relationship Id="rId30" Type="http://schemas.openxmlformats.org/officeDocument/2006/relationships/hyperlink" Target="https://www.dhs.gov/science-and-technology/sars-airborne-calculator" TargetMode="External"/><Relationship Id="rId35" Type="http://schemas.openxmlformats.org/officeDocument/2006/relationships/hyperlink" Target="https://www.nafahq.org/understanding-merv-nafa-users-guide-to-ansi-ashrae-52-2/" TargetMode="External"/><Relationship Id="rId43" Type="http://schemas.openxmlformats.org/officeDocument/2006/relationships/hyperlink" Target="https://onlinelibrary.wiley.com/doi/full/10.1111/ina.12383" TargetMode="External"/><Relationship Id="rId8" Type="http://schemas.openxmlformats.org/officeDocument/2006/relationships/hyperlink" Target="https://www.epa.gov/expobox/exposure-factors-handbook-chapter-6" TargetMode="External"/><Relationship Id="rId3" Type="http://schemas.openxmlformats.org/officeDocument/2006/relationships/hyperlink" Target="https://www.sciencedirect.com/science/article/pii/S0160412020312800" TargetMode="External"/><Relationship Id="rId12" Type="http://schemas.openxmlformats.org/officeDocument/2006/relationships/hyperlink" Target="https://journals.plos.org/plospathogens/article?id=10.1371/journal.ppat.1003205" TargetMode="External"/><Relationship Id="rId17" Type="http://schemas.openxmlformats.org/officeDocument/2006/relationships/hyperlink" Target="https://www.amazon.com/dp/B07YY7BH2W/" TargetMode="External"/><Relationship Id="rId25" Type="http://schemas.openxmlformats.org/officeDocument/2006/relationships/hyperlink" Target="https://twitter.com/ShellyMBoulder/status/1276540833223675904" TargetMode="External"/><Relationship Id="rId33" Type="http://schemas.openxmlformats.org/officeDocument/2006/relationships/hyperlink" Target="https://tinyurl.com/portableaircleanertool" TargetMode="External"/><Relationship Id="rId38" Type="http://schemas.openxmlformats.org/officeDocument/2006/relationships/hyperlink" Target="https://covid19risk.biosci.gatech.edu/" TargetMode="External"/><Relationship Id="rId20" Type="http://schemas.openxmlformats.org/officeDocument/2006/relationships/hyperlink" Target="https://link.springer.com/article/10.1007/s00420-008-0301-9" TargetMode="External"/><Relationship Id="rId41" Type="http://schemas.openxmlformats.org/officeDocument/2006/relationships/hyperlink" Target="https://jamanetwork.com/journals/jamainternalmedicine/fullarticle/276883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
  <sheetViews>
    <sheetView tabSelected="1" workbookViewId="0">
      <selection activeCell="E5" sqref="E5"/>
    </sheetView>
  </sheetViews>
  <sheetFormatPr defaultColWidth="8.6640625" defaultRowHeight="13.8" x14ac:dyDescent="0.25"/>
  <cols>
    <col min="1" max="1" width="84" style="4" customWidth="1"/>
    <col min="2" max="16384" width="8.6640625" style="4"/>
  </cols>
  <sheetData>
    <row r="1" spans="1:15" ht="45.15" customHeight="1" x14ac:dyDescent="0.25">
      <c r="A1" s="2" t="s">
        <v>150</v>
      </c>
      <c r="B1" s="2"/>
      <c r="C1" s="1"/>
      <c r="D1" s="1"/>
      <c r="E1" s="1"/>
      <c r="F1" s="1"/>
      <c r="G1" s="1"/>
      <c r="H1" s="1"/>
      <c r="I1" s="1"/>
      <c r="J1" s="1"/>
      <c r="K1" s="1"/>
      <c r="L1" s="1"/>
    </row>
    <row r="2" spans="1:15" s="8" customFormat="1" ht="232.5" customHeight="1" x14ac:dyDescent="0.3">
      <c r="A2" s="29" t="s">
        <v>210</v>
      </c>
      <c r="B2" s="29"/>
      <c r="C2" s="29"/>
      <c r="D2" s="29"/>
      <c r="E2" s="29"/>
      <c r="F2" s="29"/>
      <c r="G2" s="29"/>
      <c r="H2" s="29"/>
      <c r="I2" s="29"/>
      <c r="J2" s="29"/>
      <c r="K2" s="29"/>
      <c r="L2" s="29"/>
      <c r="M2" s="26"/>
      <c r="N2" s="26"/>
      <c r="O2" s="26"/>
    </row>
    <row r="3" spans="1:15" ht="15" x14ac:dyDescent="0.25">
      <c r="A3" s="28"/>
    </row>
  </sheetData>
  <sheetProtection algorithmName="SHA-512" hashValue="pDUHmp7ArVqB1NDzfcAfHhKIvc8ubXrrqHzOXAkxmAakQmzyGCXXVeQ/K118GL9gcui7xKWVTkoDN7jL7v+KSw==" saltValue="a0OELuA1ZAEHMVgu45dluQ==" spinCount="100000" sheet="1" objects="1" scenarios="1"/>
  <hyperlinks>
    <hyperlink ref="D12" r:id="rId1" display="https://www.medrxiv.org/content/10.1101/2020.06.15.20132027v1" xr:uid="{00000000-0004-0000-0000-000000000000}"/>
    <hyperlink ref="D13" r:id="rId2" display="https://academic.oup.com/aje/article-abstract/107/5/421/58522" xr:uid="{00000000-0004-0000-0000-000001000000}"/>
    <hyperlink ref="D14" r:id="rId3" display="https://www.sciencedirect.com/science/article/pii/S0160412020312800" xr:uid="{00000000-0004-0000-0000-000002000000}"/>
    <hyperlink ref="D15" r:id="rId4" display="https://www.medrxiv.org/content/10.1101/2020.06.01.20118984v1" xr:uid="{00000000-0004-0000-0000-000003000000}"/>
    <hyperlink ref="A19" location="Readme!A72" display="The most uncertain parameter is the quanta emission rates for SARS-CoV-2" xr:uid="{00000000-0004-0000-0000-000004000000}"/>
    <hyperlink ref="G21" r:id="rId5" display="https://www.medrxiv.org/content/10.1101/2020.06.15.20132027v1" xr:uid="{00000000-0004-0000-0000-000005000000}"/>
    <hyperlink ref="H25" r:id="rId6" display="Paper 1" xr:uid="{00000000-0004-0000-0000-000006000000}"/>
    <hyperlink ref="I25" r:id="rId7" display="Paper 2" xr:uid="{00000000-0004-0000-0000-000007000000}"/>
    <hyperlink ref="A49" location="Readme!A102" display="Inhalation (Breathing) Rates" xr:uid="{00000000-0004-0000-0000-000008000000}"/>
    <hyperlink ref="B53" r:id="rId8" display="https://www.epa.gov/expobox/exposure-factors-handbook-chapter-6" xr:uid="{00000000-0004-0000-0000-000009000000}"/>
    <hyperlink ref="A122" location="Readme!A174" display="Mask efficiencies in reducing virus emission (as they come out the nose and mouth of an infected person)" xr:uid="{00000000-0004-0000-0000-00000A000000}"/>
    <hyperlink ref="B123" r:id="rId9" display="Note that mask fit may be as important as the type of mask, see this video: https://twitter.com/jljcolorado/status/1280935408398766080" xr:uid="{00000000-0004-0000-0000-00000B000000}"/>
    <hyperlink ref="E125" r:id="rId10" display="https://pubmed.ncbi.nlm.nih.gov/24229526/" xr:uid="{00000000-0004-0000-0000-00000C000000}"/>
    <hyperlink ref="C129" r:id="rId11" display="See for example this article for a picture of that type of mask: https://www.healthline.com/health-news/certain-type-n95-mask-harm-covid19-spread" xr:uid="{00000000-0004-0000-0000-00000D000000}"/>
    <hyperlink ref="F131" r:id="rId12" display="https://journals.plos.org/plospathogens/article?id=10.1371/journal.ppat.1003205" xr:uid="{00000000-0004-0000-0000-00000E000000}"/>
    <hyperlink ref="C133" r:id="rId13" display="For face shields worn without a mask. This is a guess, since the one study available is for inhalation, not for emission. But it makes sense that efficiency would be low, due to limited inertia of exhaled particles under normal breathing or talking. From " xr:uid="{00000000-0004-0000-0000-00000F000000}"/>
    <hyperlink ref="A135" location="Readme!A188" display="Mask efficiencies in reducing virus inhalation by a susceptible person (for virus already in aerosol particles floating in the air) " xr:uid="{00000000-0004-0000-0000-000010000000}"/>
    <hyperlink ref="C137" r:id="rId14" display="Davies et al. (2013; https://pubmed.ncbi.nlm.nih.gov/24229526/) reported a filtration efficiency of 50% for homemade cloth masks that people put on themselves. After discussion w/ Linsey Marr, we &quot;discounted&quot; this to be conservative, given imperfect weari" xr:uid="{00000000-0004-0000-0000-000011000000}"/>
    <hyperlink ref="C139" r:id="rId15" display="For face shields worn without a mask, from https://www.ncbi.nlm.nih.gov/pmc/articles/PMC4734356/ https://www.youtube.com/watch?v=eGONzm3vduI Also note misconception that &quot;face shields protect from falling aerosols&quot;. Aerosols actually RISE around the human" xr:uid="{00000000-0004-0000-0000-000012000000}"/>
    <hyperlink ref="A141" location="Readme!A195" display="Building ventilation rates" xr:uid="{00000000-0004-0000-0000-000013000000}"/>
    <hyperlink ref="B144" r:id="rId16" display="An MIT calculator for natural ventilation (through cracks, windows etc.) can be downloaded here: http://coolvent.mit.edu/ " xr:uid="{00000000-0004-0000-0000-000014000000}"/>
    <hyperlink ref="B145" r:id="rId17" display="This can be measured approximately for a given space with a fast (few minutes response) CO2 meter such as this one" xr:uid="{00000000-0004-0000-0000-000015000000}"/>
    <hyperlink ref="C146" r:id="rId18" display="See this post which explains how to do it with some graphs: https://medium.com/@jjose_19945/how-to-quantify-the-ventilation-rate-of-an-indoor-space-using-a-cheap-co2-monitor-4d8b6d4dab44?source=friends_link&amp;sk=6cda52f5682a4a450a10691f07d1ad2c" xr:uid="{00000000-0004-0000-0000-000016000000}"/>
    <hyperlink ref="D157" r:id="rId19" display="https://www.sciencedirect.com/science/article/abs/pii/S1352231007008758 " xr:uid="{00000000-0004-0000-0000-000017000000}"/>
    <hyperlink ref="D158" r:id="rId20" display="https://link.springer.com/article/10.1007/s00420-008-0301-9 " xr:uid="{00000000-0004-0000-0000-000018000000}"/>
    <hyperlink ref="D159" r:id="rId21" display="https://onlinelibrary.wiley.com/doi/full/10.1111/ina.12111 " xr:uid="{00000000-0004-0000-0000-000019000000}"/>
    <hyperlink ref="D160" r:id="rId22" display="https://onlinelibrary.wiley.com/doi/full/10.1111/j.1600-0668.2012.00769.x " xr:uid="{00000000-0004-0000-0000-00001A000000}"/>
    <hyperlink ref="D161" r:id="rId23" display="https://onlinelibrary.wiley.com/doi/full/10.1111/ina.12272" xr:uid="{00000000-0004-0000-0000-00001B000000}"/>
    <hyperlink ref="D162" r:id="rId24" display="https://www.ashrae.org/technical-resources/bookstore/standards-62-1-62-2" xr:uid="{00000000-0004-0000-0000-00001C000000}"/>
    <hyperlink ref="D164" r:id="rId25" display="reasonable first estimate (if you can't measure or get hard data from facilities folks) (Link)" xr:uid="{00000000-0004-0000-0000-00001D000000}"/>
    <hyperlink ref="A250" location="Readme!A256" display="Decay rate of the virus infectivity in aerosols (indoors and outdoors)" xr:uid="{00000000-0004-0000-0000-00001E000000}"/>
    <hyperlink ref="C253" r:id="rId26" display="https://www.nejm.org/doi/full/10.1056/nejmc2004973" xr:uid="{00000000-0004-0000-0000-00001F000000}"/>
    <hyperlink ref="C254" r:id="rId27" display="https://www.medrxiv.org/content/10.1101/2020.04.13.20063784v1   (lower confidence in this result due to lack of replicates)" xr:uid="{00000000-0004-0000-0000-000020000000}"/>
    <hyperlink ref="C255" r:id="rId28" display="https://www.tandfonline.com/doi/full/10.1080/22221751.2020.1777906" xr:uid="{00000000-0004-0000-0000-000021000000}"/>
    <hyperlink ref="C256" r:id="rId29" display="https://academic.oup.com/jid/advance-article/doi/10.1093/infdis/jiaa334/5856149" xr:uid="{00000000-0004-0000-0000-000022000000}"/>
    <hyperlink ref="D257" r:id="rId30" display="Online estimator based on above (includes UV = 0, which is what should be used in most indoor spaces)" xr:uid="{00000000-0004-0000-0000-000023000000}"/>
    <hyperlink ref="A277" location="Readme!A283" display="Deposition of virus-containing aerosol to surfaces" xr:uid="{00000000-0004-0000-0000-000024000000}"/>
    <hyperlink ref="C280" r:id="rId31" display="https://www.sciencedirect.com/science/article/abs/pii/S1352231002001577" xr:uid="{00000000-0004-0000-0000-000025000000}"/>
    <hyperlink ref="C281" r:id="rId32" display="https://www.sciencedirect.com/science/article/abs/pii/S1296207418305922?via%3Dihub" xr:uid="{00000000-0004-0000-0000-000026000000}"/>
    <hyperlink ref="A283" location="Readme!A289" display="Virus removal rate of other control measures" xr:uid="{00000000-0004-0000-0000-000027000000}"/>
    <hyperlink ref="B292" r:id="rId33" display="A more elaborate calculator for HEPA filters can be found here: https://tinyurl.com/portableaircleanertool " xr:uid="{00000000-0004-0000-0000-000028000000}"/>
    <hyperlink ref="C295" r:id="rId34" display="For air that is recirculated through an HVAC system, there are also particle losses. We know since virus RNA has been found in the surfaces of HVAC system, and also from basic aerosol dynamics and losses in tubing. This will happen even if there is no fil" xr:uid="{00000000-0004-0000-0000-000029000000}"/>
    <hyperlink ref="C304" r:id="rId35" display="- Table of filter efficiency from https://www.nafahq.org/understanding-merv-nafa-users-guide-to-ansi-ashrae-52-2/ We are not sure the particle size that contains more virus, but suspect it is 1-10 um mostly, based on our read of the literature. Therefore " xr:uid="{00000000-0004-0000-0000-00002A000000}"/>
    <hyperlink ref="A327" location="Readme!A301" display="Disease prevalence in your area - Probability of someone being infected in a given region and time period" xr:uid="{00000000-0004-0000-0000-00002B000000}"/>
    <hyperlink ref="C330" r:id="rId36" display="https://sites.google.com/compassfortcollins.org/coronavirusrisk/home" xr:uid="{00000000-0004-0000-0000-00002C000000}"/>
    <hyperlink ref="C331" r:id="rId37" display="https://www.descarteslabs.com/resources/covid-19-now" xr:uid="{00000000-0004-0000-0000-00002D000000}"/>
    <hyperlink ref="C332" r:id="rId38" display="https://covid19risk.biosci.gatech.edu/" xr:uid="{00000000-0004-0000-0000-00002E000000}"/>
    <hyperlink ref="C335" r:id="rId39" display="https://covid19-projections.com/" xr:uid="{00000000-0004-0000-0000-00002F000000}"/>
    <hyperlink ref="C336" r:id="rId40" display="For the UK, you can get estimates from here: https://covid.joinzoe.com/data" xr:uid="{00000000-0004-0000-0000-000030000000}"/>
    <hyperlink ref="A349" location="Readme!A323" display="Fraction of inmune people" xr:uid="{00000000-0004-0000-0000-000031000000}"/>
    <hyperlink ref="B351" r:id="rId41" display="It can be estimated from studies such as this one: https://jamanetwork.com/journals/jamainternalmedicine/fullarticle/2768834 " xr:uid="{00000000-0004-0000-0000-000032000000}"/>
    <hyperlink ref="B352" r:id="rId42" display="You can estimate this number for US States and many countries using the total number of ever infected at: https://covid19-projections.com/" xr:uid="{00000000-0004-0000-0000-000033000000}"/>
    <hyperlink ref="A355" location="Readme!A329" display="CO2 Emission Rates" xr:uid="{00000000-0004-0000-0000-000034000000}"/>
    <hyperlink ref="A357" r:id="rId43" display="The method and tables are from Persily and de Jonge (2017)" xr:uid="{00000000-0004-0000-0000-000035000000}"/>
    <hyperlink ref="C399" r:id="rId44" display="Made public through Twitter" xr:uid="{00000000-0004-0000-0000-000036000000}"/>
  </hyperlinks>
  <pageMargins left="0.7" right="0.7" top="0.75" bottom="0.75" header="0.3" footer="0.3"/>
  <pageSetup orientation="portrait" horizontalDpi="1200" verticalDpi="1200"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zoomScaleNormal="100" workbookViewId="0">
      <selection activeCell="D3" sqref="D3"/>
    </sheetView>
  </sheetViews>
  <sheetFormatPr defaultColWidth="9.33203125" defaultRowHeight="13.8" x14ac:dyDescent="0.25"/>
  <cols>
    <col min="1" max="1" width="49.6640625" style="4" customWidth="1"/>
    <col min="2" max="2" width="10.6640625" style="88" customWidth="1"/>
    <col min="3" max="3" width="14" style="4" customWidth="1"/>
    <col min="4" max="4" width="112.33203125" style="4" customWidth="1"/>
    <col min="5" max="16384" width="9.33203125" style="4"/>
  </cols>
  <sheetData>
    <row r="1" spans="1:8" ht="25.35" customHeight="1" x14ac:dyDescent="0.25">
      <c r="A1" s="15" t="s">
        <v>188</v>
      </c>
      <c r="B1" s="15"/>
      <c r="C1" s="15"/>
      <c r="D1" s="15"/>
      <c r="E1" s="3"/>
      <c r="F1" s="3"/>
      <c r="G1" s="3"/>
      <c r="H1" s="3"/>
    </row>
    <row r="2" spans="1:8" s="3" customFormat="1" ht="25.5" customHeight="1" x14ac:dyDescent="0.3">
      <c r="A2" s="76" t="s">
        <v>180</v>
      </c>
      <c r="B2" s="77" t="s">
        <v>58</v>
      </c>
      <c r="C2" s="76" t="s">
        <v>16</v>
      </c>
      <c r="D2" s="78" t="s">
        <v>59</v>
      </c>
      <c r="E2" s="14"/>
    </row>
    <row r="3" spans="1:8" ht="73.2" customHeight="1" x14ac:dyDescent="0.25">
      <c r="A3" s="12" t="s">
        <v>109</v>
      </c>
      <c r="B3" s="75">
        <f>'Other Calculations'!C7</f>
        <v>2.5397536394176932</v>
      </c>
      <c r="C3" s="13" t="s">
        <v>111</v>
      </c>
      <c r="D3" s="11" t="s">
        <v>209</v>
      </c>
      <c r="E3" s="5"/>
      <c r="F3" s="3"/>
      <c r="G3" s="3"/>
    </row>
    <row r="4" spans="1:8" ht="81.45" customHeight="1" x14ac:dyDescent="0.25">
      <c r="A4" s="12" t="s">
        <v>110</v>
      </c>
      <c r="B4" s="75">
        <f>'Other Calculations'!C20</f>
        <v>1.599210526315789</v>
      </c>
      <c r="C4" s="13" t="s">
        <v>111</v>
      </c>
      <c r="D4" s="11" t="s">
        <v>206</v>
      </c>
      <c r="E4" s="6"/>
      <c r="F4" s="3"/>
      <c r="G4" s="3"/>
    </row>
    <row r="5" spans="1:8" ht="68.400000000000006" customHeight="1" x14ac:dyDescent="0.25">
      <c r="A5" s="79" t="s">
        <v>113</v>
      </c>
      <c r="B5" s="80">
        <f>'Other Calculations'!C24</f>
        <v>1.8589025755879061</v>
      </c>
      <c r="C5" s="13" t="s">
        <v>111</v>
      </c>
      <c r="D5" s="11" t="s">
        <v>207</v>
      </c>
    </row>
    <row r="6" spans="1:8" ht="56.25" customHeight="1" x14ac:dyDescent="0.25">
      <c r="A6" s="81" t="s">
        <v>135</v>
      </c>
      <c r="B6" s="82">
        <f>SUM(Table410[Output])</f>
        <v>5.9978667413213875</v>
      </c>
      <c r="C6" s="83" t="s">
        <v>112</v>
      </c>
      <c r="D6" s="84" t="s">
        <v>208</v>
      </c>
    </row>
    <row r="7" spans="1:8" x14ac:dyDescent="0.25">
      <c r="A7" s="86"/>
      <c r="B7" s="87"/>
      <c r="C7" s="86"/>
      <c r="D7" s="86"/>
    </row>
  </sheetData>
  <sheetProtection algorithmName="SHA-512" hashValue="1i2v617jCHpHNgabfUmJyeqore8FiWiTYM2h7dKGxDIRMlpdXW0TYdMdnrFJBdfNKIUEOApKtEGLDijUVbvRCQ==" saltValue="AI0Ly4KXGm7VaPOyxGlw3Q==" spinCount="100000" sheet="1" objects="1" scenarios="1"/>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zoomScaleNormal="100" workbookViewId="0">
      <selection activeCell="C14" sqref="C14"/>
    </sheetView>
  </sheetViews>
  <sheetFormatPr defaultColWidth="9.33203125" defaultRowHeight="13.8" x14ac:dyDescent="0.25"/>
  <cols>
    <col min="1" max="1" width="46.33203125" style="4" customWidth="1"/>
    <col min="2" max="2" width="10.6640625" style="4" customWidth="1"/>
    <col min="3" max="3" width="80.109375" style="4" customWidth="1"/>
    <col min="4" max="16384" width="9.33203125" style="4"/>
  </cols>
  <sheetData>
    <row r="1" spans="1:7" ht="25.35" customHeight="1" x14ac:dyDescent="0.25">
      <c r="A1" s="15" t="s">
        <v>182</v>
      </c>
      <c r="B1" s="15"/>
      <c r="C1" s="15"/>
      <c r="D1" s="3"/>
      <c r="E1" s="3"/>
      <c r="F1" s="3"/>
      <c r="G1" s="3"/>
    </row>
    <row r="2" spans="1:7" s="3" customFormat="1" ht="25.35" customHeight="1" x14ac:dyDescent="0.3">
      <c r="A2" s="60" t="s">
        <v>15</v>
      </c>
      <c r="B2" s="61" t="s">
        <v>58</v>
      </c>
      <c r="C2" s="66" t="s">
        <v>59</v>
      </c>
      <c r="D2" s="14"/>
    </row>
    <row r="3" spans="1:7" ht="17.100000000000001" customHeight="1" x14ac:dyDescent="0.25">
      <c r="A3" s="65" t="s">
        <v>43</v>
      </c>
      <c r="B3" s="13">
        <f>1-EXP(-'Simplified User Inputs'!C6*'Other Default Inputs'!C4*'Other Calculations'!C5*'Simplified User Inputs'!C5/('Other Calculations'!C3*('Other Calculations'!C10+'Other Calculations'!C11+'Other Calculations'!C20+'Other Calculations'!C24)))</f>
        <v>1.3778949807889962E-3</v>
      </c>
      <c r="C3" s="55" t="s">
        <v>56</v>
      </c>
      <c r="D3" s="5"/>
      <c r="E3" s="3"/>
      <c r="F3" s="3"/>
    </row>
    <row r="4" spans="1:7" ht="84" customHeight="1" x14ac:dyDescent="0.25">
      <c r="A4" s="65" t="s">
        <v>42</v>
      </c>
      <c r="B4" s="13">
        <f>1-EXP(-'Simplified User Inputs'!C6*'Reference Case Definition'!C5*'Reference Case Definition'!C9*'Simplified User Inputs'!C5/('Reference Case Definition'!C4*('Reference Case Definition'!C21+'Reference Case Definition'!C25+'Reference Case Definition'!C36+'Reference Case Definition'!C40)))</f>
        <v>1.8991737815609033E-3</v>
      </c>
      <c r="C4" s="55" t="s">
        <v>151</v>
      </c>
      <c r="D4" s="6"/>
      <c r="E4" s="3"/>
      <c r="F4" s="3"/>
    </row>
    <row r="5" spans="1:7" ht="31.2" x14ac:dyDescent="0.25">
      <c r="A5" s="67" t="s">
        <v>134</v>
      </c>
      <c r="B5" s="68">
        <f>B3/B4</f>
        <v>0.72552337978071935</v>
      </c>
      <c r="C5" s="69" t="s">
        <v>57</v>
      </c>
    </row>
  </sheetData>
  <sheetProtection algorithmName="SHA-512" hashValue="na8lrxQlcDI95ExImiKUz9n6LjTFPD8hxPZHUPnNCa63kAV/8009hrNs/WmtgQa0OePfGF5iK7bLeQItRD2QpQ==" saltValue="p+yAcjhi7JIHBTQU+CII2Q==" spinCount="100000" sheet="1" objects="1" scenarios="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zoomScaleNormal="100" workbookViewId="0">
      <selection activeCell="B9" sqref="B9"/>
    </sheetView>
  </sheetViews>
  <sheetFormatPr defaultColWidth="8.6640625" defaultRowHeight="15" x14ac:dyDescent="0.25"/>
  <cols>
    <col min="1" max="1" width="42.33203125" style="16" customWidth="1"/>
    <col min="2" max="2" width="55" style="16" customWidth="1"/>
    <col min="3" max="3" width="15.44140625" style="44" customWidth="1"/>
    <col min="4" max="4" width="10" style="16" customWidth="1"/>
    <col min="5" max="5" width="77.6640625" style="16" customWidth="1"/>
    <col min="6" max="6" width="17.6640625" style="16" customWidth="1"/>
    <col min="7" max="7" width="16.33203125" style="16" customWidth="1"/>
    <col min="8" max="16384" width="8.6640625" style="8"/>
  </cols>
  <sheetData>
    <row r="1" spans="1:7" ht="25.35" customHeight="1" x14ac:dyDescent="0.25">
      <c r="A1" s="15" t="s">
        <v>213</v>
      </c>
      <c r="B1" s="15"/>
      <c r="C1" s="100"/>
    </row>
    <row r="2" spans="1:7" ht="25.35" customHeight="1" x14ac:dyDescent="0.25">
      <c r="A2" s="60" t="s">
        <v>15</v>
      </c>
      <c r="B2" s="61" t="s">
        <v>1</v>
      </c>
      <c r="C2" s="101" t="s">
        <v>211</v>
      </c>
      <c r="D2" s="61" t="s">
        <v>16</v>
      </c>
      <c r="E2" s="62" t="s">
        <v>17</v>
      </c>
      <c r="F2" s="30"/>
      <c r="G2" s="30"/>
    </row>
    <row r="3" spans="1:7" ht="17.399999999999999" x14ac:dyDescent="0.25">
      <c r="A3" s="54" t="s">
        <v>48</v>
      </c>
      <c r="B3" s="17" t="s">
        <v>65</v>
      </c>
      <c r="C3" s="102">
        <v>89.3</v>
      </c>
      <c r="D3" s="11" t="s">
        <v>60</v>
      </c>
      <c r="E3" s="55" t="s">
        <v>100</v>
      </c>
    </row>
    <row r="4" spans="1:7" ht="15.6" x14ac:dyDescent="0.25">
      <c r="A4" s="54" t="s">
        <v>49</v>
      </c>
      <c r="B4" s="17" t="s">
        <v>66</v>
      </c>
      <c r="C4" s="102">
        <v>27</v>
      </c>
      <c r="D4" s="11" t="s">
        <v>5</v>
      </c>
      <c r="E4" s="55" t="s">
        <v>101</v>
      </c>
    </row>
    <row r="5" spans="1:7" ht="15.6" x14ac:dyDescent="0.25">
      <c r="A5" s="54" t="s">
        <v>49</v>
      </c>
      <c r="B5" s="17" t="s">
        <v>9</v>
      </c>
      <c r="C5" s="102">
        <v>5</v>
      </c>
      <c r="D5" s="11" t="s">
        <v>10</v>
      </c>
      <c r="E5" s="55" t="s">
        <v>13</v>
      </c>
    </row>
    <row r="6" spans="1:7" ht="15.6" x14ac:dyDescent="0.25">
      <c r="A6" s="54" t="s">
        <v>49</v>
      </c>
      <c r="B6" s="17" t="s">
        <v>136</v>
      </c>
      <c r="C6" s="102">
        <v>1</v>
      </c>
      <c r="D6" s="11" t="s">
        <v>5</v>
      </c>
      <c r="E6" s="55" t="s">
        <v>14</v>
      </c>
    </row>
    <row r="7" spans="1:7" ht="45" x14ac:dyDescent="0.25">
      <c r="A7" s="54" t="s">
        <v>49</v>
      </c>
      <c r="B7" s="17" t="s">
        <v>202</v>
      </c>
      <c r="C7" s="102">
        <v>1</v>
      </c>
      <c r="D7" s="11" t="s">
        <v>5</v>
      </c>
      <c r="E7" s="55" t="s">
        <v>38</v>
      </c>
    </row>
    <row r="8" spans="1:7" ht="30" x14ac:dyDescent="0.25">
      <c r="A8" s="54" t="s">
        <v>50</v>
      </c>
      <c r="B8" s="17" t="s">
        <v>203</v>
      </c>
      <c r="C8" s="102">
        <v>0</v>
      </c>
      <c r="D8" s="11" t="s">
        <v>47</v>
      </c>
      <c r="E8" s="55" t="s">
        <v>137</v>
      </c>
    </row>
    <row r="9" spans="1:7" ht="92.7" customHeight="1" x14ac:dyDescent="0.25">
      <c r="A9" s="54" t="s">
        <v>138</v>
      </c>
      <c r="B9" s="11" t="s">
        <v>181</v>
      </c>
      <c r="C9" s="102">
        <v>7</v>
      </c>
      <c r="D9" s="11" t="s">
        <v>6</v>
      </c>
      <c r="E9" s="55" t="s">
        <v>205</v>
      </c>
      <c r="G9" s="31"/>
    </row>
    <row r="10" spans="1:7" ht="15.6" x14ac:dyDescent="0.25">
      <c r="A10" s="54" t="s">
        <v>51</v>
      </c>
      <c r="B10" s="17" t="s">
        <v>22</v>
      </c>
      <c r="C10" s="102">
        <v>8</v>
      </c>
      <c r="D10" s="11" t="s">
        <v>47</v>
      </c>
      <c r="E10" s="55" t="s">
        <v>152</v>
      </c>
    </row>
    <row r="11" spans="1:7" ht="68.25" customHeight="1" x14ac:dyDescent="0.25">
      <c r="A11" s="54" t="s">
        <v>52</v>
      </c>
      <c r="B11" s="17" t="s">
        <v>133</v>
      </c>
      <c r="C11" s="102">
        <v>498</v>
      </c>
      <c r="D11" s="11" t="s">
        <v>61</v>
      </c>
      <c r="E11" s="55" t="s">
        <v>204</v>
      </c>
    </row>
    <row r="12" spans="1:7" ht="30" x14ac:dyDescent="0.25">
      <c r="A12" s="54" t="s">
        <v>53</v>
      </c>
      <c r="B12" s="17" t="s">
        <v>115</v>
      </c>
      <c r="C12" s="102">
        <v>498</v>
      </c>
      <c r="D12" s="11" t="s">
        <v>61</v>
      </c>
      <c r="E12" s="55" t="s">
        <v>189</v>
      </c>
    </row>
    <row r="13" spans="1:7" ht="30" x14ac:dyDescent="0.25">
      <c r="A13" s="35" t="s">
        <v>52</v>
      </c>
      <c r="B13" s="63" t="s">
        <v>116</v>
      </c>
      <c r="C13" s="103">
        <v>498</v>
      </c>
      <c r="D13" s="34" t="s">
        <v>61</v>
      </c>
      <c r="E13" s="55" t="s">
        <v>189</v>
      </c>
    </row>
    <row r="14" spans="1:7" x14ac:dyDescent="0.25">
      <c r="A14" s="85"/>
      <c r="B14" s="85"/>
      <c r="C14" s="104"/>
      <c r="D14" s="85"/>
    </row>
    <row r="15" spans="1:7" x14ac:dyDescent="0.25">
      <c r="A15" s="85"/>
      <c r="B15" s="85"/>
      <c r="C15" s="104"/>
      <c r="D15" s="85"/>
    </row>
  </sheetData>
  <pageMargins left="0.7" right="0.7" top="0.75" bottom="0.75" header="0.3" footer="0.3"/>
  <pageSetup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6"/>
  <sheetViews>
    <sheetView zoomScaleNormal="100" workbookViewId="0">
      <selection activeCell="B10" sqref="B10"/>
    </sheetView>
  </sheetViews>
  <sheetFormatPr defaultColWidth="8.6640625" defaultRowHeight="15" x14ac:dyDescent="0.25"/>
  <cols>
    <col min="1" max="1" width="37.44140625" style="16" customWidth="1"/>
    <col min="2" max="2" width="53" style="16" customWidth="1"/>
    <col min="3" max="3" width="25.44140625" style="110" customWidth="1"/>
    <col min="4" max="4" width="9.6640625" style="16" customWidth="1"/>
    <col min="5" max="5" width="52.33203125" style="16" customWidth="1"/>
    <col min="6" max="16384" width="8.6640625" style="8"/>
  </cols>
  <sheetData>
    <row r="1" spans="1:5" s="33" customFormat="1" ht="25.35" customHeight="1" x14ac:dyDescent="0.3">
      <c r="A1" s="100" t="s">
        <v>214</v>
      </c>
      <c r="B1" s="32"/>
      <c r="C1" s="100"/>
      <c r="D1" s="32"/>
      <c r="E1" s="70"/>
    </row>
    <row r="2" spans="1:5" ht="25.35" customHeight="1" x14ac:dyDescent="0.25">
      <c r="A2" s="60" t="s">
        <v>15</v>
      </c>
      <c r="B2" s="61" t="s">
        <v>1</v>
      </c>
      <c r="C2" s="105" t="s">
        <v>211</v>
      </c>
      <c r="D2" s="61" t="s">
        <v>16</v>
      </c>
      <c r="E2" s="62" t="s">
        <v>17</v>
      </c>
    </row>
    <row r="3" spans="1:5" ht="17.100000000000001" customHeight="1" x14ac:dyDescent="0.25">
      <c r="A3" s="54" t="s">
        <v>18</v>
      </c>
      <c r="B3" s="17" t="s">
        <v>3</v>
      </c>
      <c r="C3" s="106">
        <v>3</v>
      </c>
      <c r="D3" s="11" t="s">
        <v>0</v>
      </c>
      <c r="E3" s="55" t="s">
        <v>32</v>
      </c>
    </row>
    <row r="4" spans="1:5" ht="17.100000000000001" customHeight="1" x14ac:dyDescent="0.25">
      <c r="A4" s="54" t="s">
        <v>54</v>
      </c>
      <c r="B4" s="17" t="s">
        <v>8</v>
      </c>
      <c r="C4" s="107">
        <v>0.5</v>
      </c>
      <c r="D4" s="11" t="s">
        <v>61</v>
      </c>
      <c r="E4" s="56" t="s">
        <v>67</v>
      </c>
    </row>
    <row r="5" spans="1:5" ht="17.100000000000001" customHeight="1" x14ac:dyDescent="0.25">
      <c r="A5" s="54" t="s">
        <v>54</v>
      </c>
      <c r="B5" s="17" t="s">
        <v>183</v>
      </c>
      <c r="C5" s="106">
        <v>1</v>
      </c>
      <c r="D5" s="11" t="s">
        <v>68</v>
      </c>
      <c r="E5" s="55" t="s">
        <v>69</v>
      </c>
    </row>
    <row r="6" spans="1:5" ht="39.75" customHeight="1" x14ac:dyDescent="0.25">
      <c r="A6" s="54" t="s">
        <v>54</v>
      </c>
      <c r="B6" s="17" t="s">
        <v>29</v>
      </c>
      <c r="C6" s="108">
        <v>0.5</v>
      </c>
      <c r="D6" s="11" t="s">
        <v>64</v>
      </c>
      <c r="E6" s="55" t="s">
        <v>25</v>
      </c>
    </row>
    <row r="7" spans="1:5" ht="64.2" customHeight="1" x14ac:dyDescent="0.25">
      <c r="A7" s="54" t="s">
        <v>21</v>
      </c>
      <c r="B7" s="17" t="s">
        <v>153</v>
      </c>
      <c r="C7" s="108">
        <v>0.2</v>
      </c>
      <c r="D7" s="11" t="s">
        <v>64</v>
      </c>
      <c r="E7" s="58" t="s">
        <v>139</v>
      </c>
    </row>
    <row r="8" spans="1:5" ht="33" customHeight="1" x14ac:dyDescent="0.25">
      <c r="A8" s="54" t="s">
        <v>21</v>
      </c>
      <c r="B8" s="17" t="s">
        <v>154</v>
      </c>
      <c r="C8" s="108">
        <v>0.3</v>
      </c>
      <c r="D8" s="11" t="s">
        <v>64</v>
      </c>
      <c r="E8" s="58" t="s">
        <v>193</v>
      </c>
    </row>
    <row r="9" spans="1:5" ht="33" customHeight="1" x14ac:dyDescent="0.25">
      <c r="A9" s="54" t="s">
        <v>21</v>
      </c>
      <c r="B9" s="17" t="s">
        <v>155</v>
      </c>
      <c r="C9" s="108">
        <v>0.5</v>
      </c>
      <c r="D9" s="11" t="s">
        <v>64</v>
      </c>
      <c r="E9" s="58" t="s">
        <v>193</v>
      </c>
    </row>
    <row r="10" spans="1:5" ht="75" x14ac:dyDescent="0.25">
      <c r="A10" s="54" t="s">
        <v>21</v>
      </c>
      <c r="B10" s="17" t="s">
        <v>156</v>
      </c>
      <c r="C10" s="108">
        <v>0.2</v>
      </c>
      <c r="D10" s="11" t="s">
        <v>64</v>
      </c>
      <c r="E10" s="58" t="s">
        <v>140</v>
      </c>
    </row>
    <row r="11" spans="1:5" ht="30" x14ac:dyDescent="0.25">
      <c r="A11" s="54" t="s">
        <v>21</v>
      </c>
      <c r="B11" s="17" t="s">
        <v>157</v>
      </c>
      <c r="C11" s="108">
        <v>0.3</v>
      </c>
      <c r="D11" s="11" t="s">
        <v>64</v>
      </c>
      <c r="E11" s="58" t="s">
        <v>195</v>
      </c>
    </row>
    <row r="12" spans="1:5" ht="30" x14ac:dyDescent="0.25">
      <c r="A12" s="54" t="s">
        <v>21</v>
      </c>
      <c r="B12" s="17" t="s">
        <v>158</v>
      </c>
      <c r="C12" s="108">
        <v>0.5</v>
      </c>
      <c r="D12" s="11" t="s">
        <v>64</v>
      </c>
      <c r="E12" s="58" t="s">
        <v>195</v>
      </c>
    </row>
    <row r="13" spans="1:5" ht="23.4" customHeight="1" x14ac:dyDescent="0.25">
      <c r="A13" s="54" t="s">
        <v>34</v>
      </c>
      <c r="B13" s="17" t="s">
        <v>36</v>
      </c>
      <c r="C13" s="107">
        <v>0.2</v>
      </c>
      <c r="D13" s="11" t="s">
        <v>68</v>
      </c>
      <c r="E13" s="55" t="s">
        <v>70</v>
      </c>
    </row>
    <row r="14" spans="1:5" ht="94.8" x14ac:dyDescent="0.25">
      <c r="A14" s="54" t="s">
        <v>19</v>
      </c>
      <c r="B14" s="17" t="s">
        <v>159</v>
      </c>
      <c r="C14" s="107">
        <v>0.14000000000000001</v>
      </c>
      <c r="D14" s="11" t="s">
        <v>68</v>
      </c>
      <c r="E14" s="55" t="s">
        <v>187</v>
      </c>
    </row>
    <row r="15" spans="1:5" ht="30" x14ac:dyDescent="0.25">
      <c r="A15" s="54" t="s">
        <v>19</v>
      </c>
      <c r="B15" s="17" t="s">
        <v>160</v>
      </c>
      <c r="C15" s="107">
        <v>0.28999999999999998</v>
      </c>
      <c r="D15" s="11" t="s">
        <v>68</v>
      </c>
      <c r="E15" s="58" t="s">
        <v>192</v>
      </c>
    </row>
    <row r="16" spans="1:5" ht="30" x14ac:dyDescent="0.25">
      <c r="A16" s="54" t="s">
        <v>19</v>
      </c>
      <c r="B16" s="17" t="s">
        <v>161</v>
      </c>
      <c r="C16" s="107">
        <v>0.91</v>
      </c>
      <c r="D16" s="11" t="s">
        <v>68</v>
      </c>
      <c r="E16" s="58" t="s">
        <v>192</v>
      </c>
    </row>
    <row r="17" spans="1:5" ht="17.399999999999999" x14ac:dyDescent="0.25">
      <c r="A17" s="54" t="s">
        <v>20</v>
      </c>
      <c r="B17" s="17" t="s">
        <v>30</v>
      </c>
      <c r="C17" s="106">
        <v>6</v>
      </c>
      <c r="D17" s="11" t="s">
        <v>68</v>
      </c>
      <c r="E17" s="55" t="s">
        <v>33</v>
      </c>
    </row>
    <row r="18" spans="1:5" ht="15.6" x14ac:dyDescent="0.25">
      <c r="A18" s="35" t="s">
        <v>20</v>
      </c>
      <c r="B18" s="63" t="s">
        <v>26</v>
      </c>
      <c r="C18" s="109">
        <v>1</v>
      </c>
      <c r="D18" s="34" t="s">
        <v>64</v>
      </c>
      <c r="E18" s="64" t="s">
        <v>27</v>
      </c>
    </row>
    <row r="20" spans="1:5" x14ac:dyDescent="0.25">
      <c r="C20" s="44"/>
    </row>
    <row r="21" spans="1:5" x14ac:dyDescent="0.25">
      <c r="C21" s="44"/>
    </row>
    <row r="22" spans="1:5" x14ac:dyDescent="0.25">
      <c r="C22" s="44"/>
    </row>
    <row r="23" spans="1:5" x14ac:dyDescent="0.25">
      <c r="C23" s="44"/>
    </row>
    <row r="24" spans="1:5" x14ac:dyDescent="0.25">
      <c r="C24" s="44"/>
    </row>
    <row r="25" spans="1:5" x14ac:dyDescent="0.25">
      <c r="C25" s="44"/>
    </row>
    <row r="26" spans="1:5" x14ac:dyDescent="0.25">
      <c r="C26" s="44"/>
    </row>
    <row r="27" spans="1:5" x14ac:dyDescent="0.25">
      <c r="C27" s="44"/>
    </row>
    <row r="28" spans="1:5" x14ac:dyDescent="0.25">
      <c r="C28" s="44"/>
    </row>
    <row r="29" spans="1:5" x14ac:dyDescent="0.25">
      <c r="C29" s="44"/>
    </row>
    <row r="30" spans="1:5" x14ac:dyDescent="0.25">
      <c r="C30" s="44"/>
    </row>
    <row r="31" spans="1:5" x14ac:dyDescent="0.25">
      <c r="C31" s="44"/>
    </row>
    <row r="32" spans="1:5" x14ac:dyDescent="0.25">
      <c r="C32" s="44"/>
    </row>
    <row r="33" spans="3:3" x14ac:dyDescent="0.25">
      <c r="C33" s="44"/>
    </row>
    <row r="34" spans="3:3" x14ac:dyDescent="0.25">
      <c r="C34" s="44"/>
    </row>
    <row r="35" spans="3:3" x14ac:dyDescent="0.25">
      <c r="C35" s="44"/>
    </row>
    <row r="36" spans="3:3" x14ac:dyDescent="0.25">
      <c r="C36" s="44"/>
    </row>
    <row r="37" spans="3:3" x14ac:dyDescent="0.25">
      <c r="C37" s="44"/>
    </row>
    <row r="38" spans="3:3" x14ac:dyDescent="0.25">
      <c r="C38" s="44"/>
    </row>
    <row r="39" spans="3:3" x14ac:dyDescent="0.25">
      <c r="C39" s="44"/>
    </row>
    <row r="40" spans="3:3" x14ac:dyDescent="0.25">
      <c r="C40" s="44"/>
    </row>
    <row r="41" spans="3:3" x14ac:dyDescent="0.25">
      <c r="C41" s="44"/>
    </row>
    <row r="42" spans="3:3" x14ac:dyDescent="0.25">
      <c r="C42" s="44"/>
    </row>
    <row r="43" spans="3:3" x14ac:dyDescent="0.25">
      <c r="C43" s="44"/>
    </row>
    <row r="44" spans="3:3" x14ac:dyDescent="0.25">
      <c r="C44" s="44"/>
    </row>
    <row r="45" spans="3:3" x14ac:dyDescent="0.25">
      <c r="C45" s="44"/>
    </row>
    <row r="46" spans="3:3" x14ac:dyDescent="0.25">
      <c r="C46" s="44"/>
    </row>
  </sheetData>
  <printOptions horizontalCentered="1"/>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34"/>
  <sheetViews>
    <sheetView zoomScaleNormal="100" workbookViewId="0">
      <selection activeCell="B10" sqref="B10"/>
    </sheetView>
  </sheetViews>
  <sheetFormatPr defaultColWidth="8.6640625" defaultRowHeight="15" x14ac:dyDescent="0.25"/>
  <cols>
    <col min="1" max="1" width="39.5546875" style="16" customWidth="1"/>
    <col min="2" max="2" width="64.44140625" style="16" customWidth="1"/>
    <col min="3" max="3" width="32.33203125" style="110" customWidth="1"/>
    <col min="4" max="4" width="10.33203125" style="16" customWidth="1"/>
    <col min="5" max="5" width="51" style="16" customWidth="1"/>
    <col min="6" max="16384" width="8.6640625" style="8"/>
  </cols>
  <sheetData>
    <row r="1" spans="1:5" s="33" customFormat="1" ht="25.35" customHeight="1" x14ac:dyDescent="0.3">
      <c r="A1" s="100" t="s">
        <v>212</v>
      </c>
      <c r="B1" s="15"/>
      <c r="C1" s="100"/>
      <c r="D1" s="32"/>
      <c r="E1" s="32"/>
    </row>
    <row r="2" spans="1:5" ht="25.35" customHeight="1" x14ac:dyDescent="0.25">
      <c r="A2" s="61" t="s">
        <v>15</v>
      </c>
      <c r="B2" s="61" t="s">
        <v>1</v>
      </c>
      <c r="C2" s="105" t="s">
        <v>179</v>
      </c>
      <c r="D2" s="61" t="s">
        <v>16</v>
      </c>
      <c r="E2" s="62" t="s">
        <v>17</v>
      </c>
    </row>
    <row r="3" spans="1:5" ht="17.399999999999999" x14ac:dyDescent="0.25">
      <c r="A3" s="34" t="s">
        <v>18</v>
      </c>
      <c r="B3" s="11" t="s">
        <v>4</v>
      </c>
      <c r="C3" s="111">
        <f>'Other Default Inputs'!C3*'Simplified User Inputs'!C3</f>
        <v>267.89999999999998</v>
      </c>
      <c r="D3" s="11" t="s">
        <v>71</v>
      </c>
      <c r="E3" s="74" t="s">
        <v>171</v>
      </c>
    </row>
    <row r="4" spans="1:5" ht="15.6" x14ac:dyDescent="0.25">
      <c r="A4" s="34" t="s">
        <v>54</v>
      </c>
      <c r="B4" s="11" t="s">
        <v>11</v>
      </c>
      <c r="C4" s="111">
        <f>'Simplified User Inputs'!C4-'Simplified User Inputs'!C7</f>
        <v>26</v>
      </c>
      <c r="D4" s="11" t="s">
        <v>5</v>
      </c>
      <c r="E4" s="74" t="s">
        <v>172</v>
      </c>
    </row>
    <row r="5" spans="1:5" ht="17.399999999999999" x14ac:dyDescent="0.25">
      <c r="A5" s="34" t="s">
        <v>54</v>
      </c>
      <c r="B5" s="11" t="s">
        <v>186</v>
      </c>
      <c r="C5" s="112">
        <f>IF('Simplified User Inputs'!C8=0,'Other Default Inputs'!C5,IF('Simplified User Inputs'!C8=1,'Other Default Inputs'!C5*(1-'Other Default Inputs'!C6),"Input mask information"))</f>
        <v>1</v>
      </c>
      <c r="D5" s="11" t="s">
        <v>68</v>
      </c>
      <c r="E5" s="74" t="s">
        <v>171</v>
      </c>
    </row>
    <row r="6" spans="1:5" ht="17.399999999999999" x14ac:dyDescent="0.25">
      <c r="A6" s="34" t="s">
        <v>34</v>
      </c>
      <c r="B6" s="11" t="s">
        <v>63</v>
      </c>
      <c r="C6" s="111">
        <f>'Simplified User Inputs'!C9*'Simplified User Inputs'!C4*3600/1000</f>
        <v>680.4</v>
      </c>
      <c r="D6" s="11" t="s">
        <v>61</v>
      </c>
      <c r="E6" s="74" t="s">
        <v>172</v>
      </c>
    </row>
    <row r="7" spans="1:5" ht="17.399999999999999" x14ac:dyDescent="0.25">
      <c r="A7" s="34" t="s">
        <v>34</v>
      </c>
      <c r="B7" s="11" t="s">
        <v>37</v>
      </c>
      <c r="C7" s="112">
        <f>C6/C3</f>
        <v>2.5397536394176932</v>
      </c>
      <c r="D7" s="11" t="s">
        <v>68</v>
      </c>
      <c r="E7" s="74" t="s">
        <v>96</v>
      </c>
    </row>
    <row r="8" spans="1:5" ht="17.399999999999999" x14ac:dyDescent="0.25">
      <c r="A8" s="34" t="s">
        <v>34</v>
      </c>
      <c r="B8" s="11" t="s">
        <v>35</v>
      </c>
      <c r="C8" s="111">
        <f>C3*'Other Default Inputs'!C13</f>
        <v>53.58</v>
      </c>
      <c r="D8" s="11" t="s">
        <v>61</v>
      </c>
      <c r="E8" s="74" t="s">
        <v>173</v>
      </c>
    </row>
    <row r="9" spans="1:5" ht="17.399999999999999" x14ac:dyDescent="0.25">
      <c r="A9" s="34" t="s">
        <v>34</v>
      </c>
      <c r="B9" s="11" t="s">
        <v>44</v>
      </c>
      <c r="C9" s="111">
        <f>C6+C8</f>
        <v>733.98</v>
      </c>
      <c r="D9" s="11" t="s">
        <v>61</v>
      </c>
      <c r="E9" s="74" t="s">
        <v>97</v>
      </c>
    </row>
    <row r="10" spans="1:5" ht="30" x14ac:dyDescent="0.25">
      <c r="A10" s="34" t="s">
        <v>34</v>
      </c>
      <c r="B10" s="11" t="s">
        <v>45</v>
      </c>
      <c r="C10" s="112">
        <f>C9/C3</f>
        <v>2.7397536394176933</v>
      </c>
      <c r="D10" s="11" t="s">
        <v>2</v>
      </c>
      <c r="E10" s="74" t="s">
        <v>108</v>
      </c>
    </row>
    <row r="11" spans="1:5" ht="17.399999999999999" x14ac:dyDescent="0.25">
      <c r="A11" s="34" t="s">
        <v>19</v>
      </c>
      <c r="B11" s="11" t="s">
        <v>12</v>
      </c>
      <c r="C11" s="113">
        <f>'Other Default Inputs'!C7*'Other Default Inputs'!C14+'Other Default Inputs'!C8*'Other Default Inputs'!C15+'Other Default Inputs'!C9*'Other Default Inputs'!C16</f>
        <v>0.57000000000000006</v>
      </c>
      <c r="D11" s="11" t="s">
        <v>68</v>
      </c>
      <c r="E11" s="74" t="s">
        <v>98</v>
      </c>
    </row>
    <row r="12" spans="1:5" ht="17.399999999999999" x14ac:dyDescent="0.25">
      <c r="A12" s="35" t="s">
        <v>20</v>
      </c>
      <c r="B12" s="11" t="s">
        <v>7</v>
      </c>
      <c r="C12" s="111">
        <f>'Other Default Inputs'!C17*C3</f>
        <v>1607.3999999999999</v>
      </c>
      <c r="D12" s="11" t="s">
        <v>61</v>
      </c>
      <c r="E12" s="74" t="s">
        <v>98</v>
      </c>
    </row>
    <row r="13" spans="1:5" ht="21.6" customHeight="1" x14ac:dyDescent="0.25">
      <c r="A13" s="35" t="s">
        <v>20</v>
      </c>
      <c r="B13" s="11" t="s">
        <v>31</v>
      </c>
      <c r="C13" s="114">
        <f>(C12-C6)/C12</f>
        <v>0.57670772676371773</v>
      </c>
      <c r="D13" s="11" t="s">
        <v>64</v>
      </c>
      <c r="E13" s="74" t="s">
        <v>99</v>
      </c>
    </row>
    <row r="14" spans="1:5" ht="45" x14ac:dyDescent="0.25">
      <c r="A14" s="35" t="s">
        <v>20</v>
      </c>
      <c r="B14" s="11" t="s">
        <v>162</v>
      </c>
      <c r="C14" s="114">
        <f>IF('Simplified User Inputs'!C10=0,'Simplified MERV Table '!B3,(IF('Simplified User Inputs'!C10=1,'Simplified MERV Table '!C3,(IF('Simplified User Inputs'!C10=2,'Simplified MERV Table '!D3,(IF('Simplified User Inputs'!C10=3,'Simplified MERV Table '!E3,(IF('Simplified User Inputs'!C10=4,'Simplified MERV Table '!F3,(IF('Simplified User Inputs'!C10=5,'Simplified MERV Table '!G3,(IF('Simplified User Inputs'!C10=6,'Simplified MERV Table '!H3,(IF('Simplified User Inputs'!C10=7,'Simplified MERV Table '!I3,(IF('Simplified User Inputs'!C10=8,'Simplified MERV Table '!J3,(IF('Simplified User Inputs'!C10=9,'Simplified MERV Table '!K3,(IF('Simplified User Inputs'!C10=10,'Simplified MERV Table '!L3,(IF('Simplified User Inputs'!C10=11,'Simplified MERV Table '!M3,(IF('Simplified User Inputs'!C10=12,'Simplified MERV Table '!N3,(IF('Simplified User Inputs'!C10=13,'Simplified MERV Table '!O3,(IF('Simplified User Inputs'!C10=14,'Simplified MERV Table '!P3,(IF('Simplified User Inputs'!C10=15,'Simplified MERV Table '!Q3,(IF('Simplified User Inputs'!C10=16,'Simplified MERV Table '!R3,"Error")))))))))))))))))))))))))))))))))</f>
        <v>0.14833333333333332</v>
      </c>
      <c r="D14" s="11" t="s">
        <v>64</v>
      </c>
      <c r="E14" s="64" t="s">
        <v>39</v>
      </c>
    </row>
    <row r="15" spans="1:5" ht="30" x14ac:dyDescent="0.25">
      <c r="A15" s="35" t="s">
        <v>20</v>
      </c>
      <c r="B15" s="11" t="s">
        <v>163</v>
      </c>
      <c r="C15" s="114">
        <f>IF('Simplified User Inputs'!C10=0,'Simplified MERV Table '!B4,(IF('Simplified User Inputs'!C10=1,'Simplified MERV Table '!C4,(IF('Simplified User Inputs'!C10=2,'Simplified MERV Table '!D4,(IF('Simplified User Inputs'!C10=3,'Simplified MERV Table '!E4,(IF('Simplified User Inputs'!C10=4,'Simplified MERV Table '!F4,(IF('Simplified User Inputs'!C10=5,'Simplified MERV Table '!G4,(IF('Simplified User Inputs'!C10=6,'Simplified MERV Table '!H4,(IF('Simplified User Inputs'!C10=7,'Simplified MERV Table '!I4,(IF('Simplified User Inputs'!C10=8,'Simplified MERV Table '!J4,(IF('Simplified User Inputs'!C10=9,'Simplified MERV Table '!K4,(IF('Simplified User Inputs'!C10=10,'Simplified MERV Table '!L4,(IF('Simplified User Inputs'!C10=11,'Simplified MERV Table '!M4,(IF('Simplified User Inputs'!C10=12,'Simplified MERV Table '!N4,(IF('Simplified User Inputs'!C10=13,'Simplified MERV Table '!O4,(IF('Simplified User Inputs'!C10=14,'Simplified MERV Table '!P4,(IF('Simplified User Inputs'!C10=15,'Simplified MERV Table '!Q4,(IF('Simplified User Inputs'!C10=16,'Simplified MERV Table '!R4,"Error")))))))))))))))))))))))))))))))))</f>
        <v>0.27499999999999997</v>
      </c>
      <c r="D15" s="11" t="s">
        <v>64</v>
      </c>
      <c r="E15" s="58" t="s">
        <v>190</v>
      </c>
    </row>
    <row r="16" spans="1:5" ht="30" x14ac:dyDescent="0.25">
      <c r="A16" s="35" t="s">
        <v>20</v>
      </c>
      <c r="B16" s="11" t="s">
        <v>164</v>
      </c>
      <c r="C16" s="114">
        <f>IF('Simplified User Inputs'!C10=0,'Simplified MERV Table '!B5,(IF('Simplified User Inputs'!C10=1,'Simplified MERV Table '!C5,(IF('Simplified User Inputs'!C10=2,'Simplified MERV Table '!D5,(IF('Simplified User Inputs'!C10=3,'Simplified MERV Table '!E5,(IF('Simplified User Inputs'!C10=4,'Simplified MERV Table '!F5,(IF('Simplified User Inputs'!C10=5,'Simplified MERV Table '!G5,(IF('Simplified User Inputs'!C10=6,'Simplified MERV Table '!H5,(IF('Simplified User Inputs'!C10=7,'Simplified MERV Table '!I5,(IF('Simplified User Inputs'!C10=8,'Simplified MERV Table '!J5,(IF('Simplified User Inputs'!C10=9,'Simplified MERV Table '!K5,(IF('Simplified User Inputs'!C10=10,'Simplified MERV Table '!L5,(IF('Simplified User Inputs'!C10=11,'Simplified MERV Table '!M5,(IF('Simplified User Inputs'!C10=12,'Simplified MERV Table '!N5,(IF('Simplified User Inputs'!C10=13,'Simplified MERV Table '!O5,(IF('Simplified User Inputs'!C10=14,'Simplified MERV Table '!P5,(IF('Simplified User Inputs'!C10=15,'Simplified MERV Table '!Q5,(IF('Simplified User Inputs'!C10=16,'Simplified MERV Table '!R5,"Error")))))))))))))))))))))))))))))))))</f>
        <v>0.7</v>
      </c>
      <c r="D16" s="11" t="s">
        <v>64</v>
      </c>
      <c r="E16" s="58" t="s">
        <v>190</v>
      </c>
    </row>
    <row r="17" spans="1:5" ht="75" x14ac:dyDescent="0.25">
      <c r="A17" s="35" t="s">
        <v>20</v>
      </c>
      <c r="B17" s="11" t="s">
        <v>165</v>
      </c>
      <c r="C17" s="113">
        <f>C12*C13*C14*'Other Default Inputs'!C18/C3</f>
        <v>0.5132698768197087</v>
      </c>
      <c r="D17" s="11" t="s">
        <v>68</v>
      </c>
      <c r="E17" s="64" t="s">
        <v>142</v>
      </c>
    </row>
    <row r="18" spans="1:5" ht="30" x14ac:dyDescent="0.25">
      <c r="A18" s="35" t="s">
        <v>20</v>
      </c>
      <c r="B18" s="11" t="s">
        <v>166</v>
      </c>
      <c r="C18" s="113">
        <f>C12*C13*C15*'Other Default Inputs'!C18/C3</f>
        <v>0.95156774916013409</v>
      </c>
      <c r="D18" s="11" t="s">
        <v>68</v>
      </c>
      <c r="E18" s="58" t="s">
        <v>191</v>
      </c>
    </row>
    <row r="19" spans="1:5" ht="30" x14ac:dyDescent="0.25">
      <c r="A19" s="35" t="s">
        <v>20</v>
      </c>
      <c r="B19" s="11" t="s">
        <v>167</v>
      </c>
      <c r="C19" s="112">
        <f>C12*C13*C16*'Other Default Inputs'!C18/C3</f>
        <v>2.4221724524076143</v>
      </c>
      <c r="D19" s="11" t="s">
        <v>68</v>
      </c>
      <c r="E19" s="58" t="s">
        <v>191</v>
      </c>
    </row>
    <row r="20" spans="1:5" ht="30" x14ac:dyDescent="0.25">
      <c r="A20" s="35" t="s">
        <v>20</v>
      </c>
      <c r="B20" s="11" t="s">
        <v>23</v>
      </c>
      <c r="C20" s="112">
        <f>'Other Default Inputs'!C7*C17+'Other Default Inputs'!C8*C18+'Other Default Inputs'!C9*C19</f>
        <v>1.599210526315789</v>
      </c>
      <c r="D20" s="11" t="s">
        <v>68</v>
      </c>
      <c r="E20" s="74" t="s">
        <v>107</v>
      </c>
    </row>
    <row r="21" spans="1:5" ht="60" x14ac:dyDescent="0.25">
      <c r="A21" s="34" t="s">
        <v>41</v>
      </c>
      <c r="B21" s="11" t="s">
        <v>168</v>
      </c>
      <c r="C21" s="112">
        <f>'Simplified User Inputs'!C11/C$3</f>
        <v>1.8589025755879061</v>
      </c>
      <c r="D21" s="11" t="s">
        <v>72</v>
      </c>
      <c r="E21" s="64" t="s">
        <v>174</v>
      </c>
    </row>
    <row r="22" spans="1:5" ht="30" x14ac:dyDescent="0.25">
      <c r="A22" s="34" t="s">
        <v>41</v>
      </c>
      <c r="B22" s="11" t="s">
        <v>169</v>
      </c>
      <c r="C22" s="112">
        <f>'Simplified User Inputs'!C12/C$3</f>
        <v>1.8589025755879061</v>
      </c>
      <c r="D22" s="11" t="s">
        <v>72</v>
      </c>
      <c r="E22" s="58" t="s">
        <v>194</v>
      </c>
    </row>
    <row r="23" spans="1:5" ht="30" x14ac:dyDescent="0.25">
      <c r="A23" s="11" t="s">
        <v>41</v>
      </c>
      <c r="B23" s="11" t="s">
        <v>170</v>
      </c>
      <c r="C23" s="112">
        <f>'Simplified User Inputs'!C13/C$3</f>
        <v>1.8589025755879061</v>
      </c>
      <c r="D23" s="11" t="s">
        <v>72</v>
      </c>
      <c r="E23" s="58" t="s">
        <v>194</v>
      </c>
    </row>
    <row r="24" spans="1:5" ht="30" x14ac:dyDescent="0.25">
      <c r="A24" s="11" t="s">
        <v>41</v>
      </c>
      <c r="B24" s="11" t="s">
        <v>24</v>
      </c>
      <c r="C24" s="112">
        <f>'Other Default Inputs'!C10*C21+'Other Default Inputs'!C11*C22+'Other Default Inputs'!C12*C23</f>
        <v>1.8589025755879061</v>
      </c>
      <c r="D24" s="11" t="s">
        <v>72</v>
      </c>
      <c r="E24" s="17" t="s">
        <v>106</v>
      </c>
    </row>
    <row r="25" spans="1:5" x14ac:dyDescent="0.25">
      <c r="C25" s="115"/>
    </row>
    <row r="26" spans="1:5" x14ac:dyDescent="0.25">
      <c r="C26" s="44"/>
    </row>
    <row r="27" spans="1:5" x14ac:dyDescent="0.25">
      <c r="C27" s="44"/>
    </row>
    <row r="28" spans="1:5" x14ac:dyDescent="0.25">
      <c r="C28" s="44"/>
    </row>
    <row r="29" spans="1:5" x14ac:dyDescent="0.25">
      <c r="C29" s="44"/>
    </row>
    <row r="30" spans="1:5" x14ac:dyDescent="0.25">
      <c r="C30" s="44"/>
    </row>
    <row r="31" spans="1:5" x14ac:dyDescent="0.25">
      <c r="C31" s="44"/>
    </row>
    <row r="32" spans="1:5" x14ac:dyDescent="0.25">
      <c r="C32" s="44"/>
    </row>
    <row r="33" spans="3:3" x14ac:dyDescent="0.25">
      <c r="C33" s="44"/>
    </row>
    <row r="34" spans="3:3" x14ac:dyDescent="0.25">
      <c r="C34" s="44"/>
    </row>
    <row r="35" spans="3:3" x14ac:dyDescent="0.25">
      <c r="C35" s="44"/>
    </row>
    <row r="36" spans="3:3" x14ac:dyDescent="0.25">
      <c r="C36" s="44"/>
    </row>
    <row r="37" spans="3:3" x14ac:dyDescent="0.25">
      <c r="C37" s="44"/>
    </row>
    <row r="38" spans="3:3" x14ac:dyDescent="0.25">
      <c r="C38" s="44"/>
    </row>
    <row r="39" spans="3:3" x14ac:dyDescent="0.25">
      <c r="C39" s="44"/>
    </row>
    <row r="40" spans="3:3" x14ac:dyDescent="0.25">
      <c r="C40" s="44"/>
    </row>
    <row r="41" spans="3:3" x14ac:dyDescent="0.25">
      <c r="C41" s="44"/>
    </row>
    <row r="42" spans="3:3" x14ac:dyDescent="0.25">
      <c r="C42" s="44"/>
    </row>
    <row r="43" spans="3:3" x14ac:dyDescent="0.25">
      <c r="C43" s="44"/>
    </row>
    <row r="44" spans="3:3" x14ac:dyDescent="0.25">
      <c r="C44" s="44"/>
    </row>
    <row r="45" spans="3:3" x14ac:dyDescent="0.25">
      <c r="C45" s="44"/>
    </row>
    <row r="46" spans="3:3" x14ac:dyDescent="0.25">
      <c r="C46" s="44"/>
    </row>
    <row r="47" spans="3:3" x14ac:dyDescent="0.25">
      <c r="C47" s="44"/>
    </row>
    <row r="48" spans="3:3" x14ac:dyDescent="0.25">
      <c r="C48" s="44"/>
    </row>
    <row r="49" spans="3:3" x14ac:dyDescent="0.25">
      <c r="C49" s="44"/>
    </row>
    <row r="50" spans="3:3" x14ac:dyDescent="0.25">
      <c r="C50" s="44"/>
    </row>
    <row r="51" spans="3:3" x14ac:dyDescent="0.25">
      <c r="C51" s="44"/>
    </row>
    <row r="52" spans="3:3" x14ac:dyDescent="0.25">
      <c r="C52" s="44"/>
    </row>
    <row r="53" spans="3:3" x14ac:dyDescent="0.25">
      <c r="C53" s="44"/>
    </row>
    <row r="54" spans="3:3" x14ac:dyDescent="0.25">
      <c r="C54" s="44"/>
    </row>
    <row r="55" spans="3:3" x14ac:dyDescent="0.25">
      <c r="C55" s="44"/>
    </row>
    <row r="56" spans="3:3" x14ac:dyDescent="0.25">
      <c r="C56" s="44"/>
    </row>
    <row r="57" spans="3:3" x14ac:dyDescent="0.25">
      <c r="C57" s="44"/>
    </row>
    <row r="58" spans="3:3" x14ac:dyDescent="0.25">
      <c r="C58" s="44"/>
    </row>
    <row r="59" spans="3:3" x14ac:dyDescent="0.25">
      <c r="C59" s="44"/>
    </row>
    <row r="60" spans="3:3" x14ac:dyDescent="0.25">
      <c r="C60" s="44"/>
    </row>
    <row r="61" spans="3:3" x14ac:dyDescent="0.25">
      <c r="C61" s="44"/>
    </row>
    <row r="62" spans="3:3" x14ac:dyDescent="0.25">
      <c r="C62" s="44"/>
    </row>
    <row r="63" spans="3:3" x14ac:dyDescent="0.25">
      <c r="C63" s="44"/>
    </row>
    <row r="64" spans="3:3" x14ac:dyDescent="0.25">
      <c r="C64" s="44"/>
    </row>
    <row r="65" spans="3:3" x14ac:dyDescent="0.25">
      <c r="C65" s="44"/>
    </row>
    <row r="66" spans="3:3" x14ac:dyDescent="0.25">
      <c r="C66" s="44"/>
    </row>
    <row r="67" spans="3:3" x14ac:dyDescent="0.25">
      <c r="C67" s="44"/>
    </row>
    <row r="68" spans="3:3" x14ac:dyDescent="0.25">
      <c r="C68" s="44"/>
    </row>
    <row r="69" spans="3:3" x14ac:dyDescent="0.25">
      <c r="C69" s="44"/>
    </row>
    <row r="70" spans="3:3" x14ac:dyDescent="0.25">
      <c r="C70" s="44"/>
    </row>
    <row r="71" spans="3:3" x14ac:dyDescent="0.25">
      <c r="C71" s="44"/>
    </row>
    <row r="72" spans="3:3" x14ac:dyDescent="0.25">
      <c r="C72" s="44"/>
    </row>
    <row r="73" spans="3:3" x14ac:dyDescent="0.25">
      <c r="C73" s="44"/>
    </row>
    <row r="74" spans="3:3" x14ac:dyDescent="0.25">
      <c r="C74" s="44"/>
    </row>
    <row r="75" spans="3:3" x14ac:dyDescent="0.25">
      <c r="C75" s="44"/>
    </row>
    <row r="76" spans="3:3" x14ac:dyDescent="0.25">
      <c r="C76" s="44"/>
    </row>
    <row r="77" spans="3:3" x14ac:dyDescent="0.25">
      <c r="C77" s="44"/>
    </row>
    <row r="78" spans="3:3" x14ac:dyDescent="0.25">
      <c r="C78" s="44"/>
    </row>
    <row r="79" spans="3:3" x14ac:dyDescent="0.25">
      <c r="C79" s="44"/>
    </row>
    <row r="80" spans="3:3" x14ac:dyDescent="0.25">
      <c r="C80" s="44"/>
    </row>
    <row r="81" spans="3:3" x14ac:dyDescent="0.25">
      <c r="C81" s="44"/>
    </row>
    <row r="82" spans="3:3" x14ac:dyDescent="0.25">
      <c r="C82" s="44"/>
    </row>
    <row r="83" spans="3:3" x14ac:dyDescent="0.25">
      <c r="C83" s="44"/>
    </row>
    <row r="84" spans="3:3" x14ac:dyDescent="0.25">
      <c r="C84" s="44"/>
    </row>
    <row r="85" spans="3:3" x14ac:dyDescent="0.25">
      <c r="C85" s="44"/>
    </row>
    <row r="86" spans="3:3" x14ac:dyDescent="0.25">
      <c r="C86" s="44"/>
    </row>
    <row r="87" spans="3:3" x14ac:dyDescent="0.25">
      <c r="C87" s="44"/>
    </row>
    <row r="88" spans="3:3" x14ac:dyDescent="0.25">
      <c r="C88" s="44"/>
    </row>
    <row r="89" spans="3:3" x14ac:dyDescent="0.25">
      <c r="C89" s="44"/>
    </row>
    <row r="90" spans="3:3" x14ac:dyDescent="0.25">
      <c r="C90" s="44"/>
    </row>
    <row r="91" spans="3:3" x14ac:dyDescent="0.25">
      <c r="C91" s="44"/>
    </row>
    <row r="92" spans="3:3" x14ac:dyDescent="0.25">
      <c r="C92" s="44"/>
    </row>
    <row r="93" spans="3:3" x14ac:dyDescent="0.25">
      <c r="C93" s="44"/>
    </row>
    <row r="94" spans="3:3" x14ac:dyDescent="0.25">
      <c r="C94" s="44"/>
    </row>
    <row r="95" spans="3:3" x14ac:dyDescent="0.25">
      <c r="C95" s="44"/>
    </row>
    <row r="96" spans="3:3" x14ac:dyDescent="0.25">
      <c r="C96" s="44"/>
    </row>
    <row r="97" spans="3:3" x14ac:dyDescent="0.25">
      <c r="C97" s="44"/>
    </row>
    <row r="98" spans="3:3" x14ac:dyDescent="0.25">
      <c r="C98" s="44"/>
    </row>
    <row r="99" spans="3:3" x14ac:dyDescent="0.25">
      <c r="C99" s="44"/>
    </row>
    <row r="100" spans="3:3" x14ac:dyDescent="0.25">
      <c r="C100" s="44"/>
    </row>
    <row r="101" spans="3:3" x14ac:dyDescent="0.25">
      <c r="C101" s="44"/>
    </row>
    <row r="102" spans="3:3" x14ac:dyDescent="0.25">
      <c r="C102" s="44"/>
    </row>
    <row r="103" spans="3:3" x14ac:dyDescent="0.25">
      <c r="C103" s="44"/>
    </row>
    <row r="104" spans="3:3" x14ac:dyDescent="0.25">
      <c r="C104" s="44"/>
    </row>
    <row r="105" spans="3:3" x14ac:dyDescent="0.25">
      <c r="C105" s="44"/>
    </row>
    <row r="106" spans="3:3" x14ac:dyDescent="0.25">
      <c r="C106" s="44"/>
    </row>
    <row r="107" spans="3:3" x14ac:dyDescent="0.25">
      <c r="C107" s="44"/>
    </row>
    <row r="108" spans="3:3" x14ac:dyDescent="0.25">
      <c r="C108" s="44"/>
    </row>
    <row r="109" spans="3:3" x14ac:dyDescent="0.25">
      <c r="C109" s="44"/>
    </row>
    <row r="110" spans="3:3" x14ac:dyDescent="0.25">
      <c r="C110" s="44"/>
    </row>
    <row r="111" spans="3:3" x14ac:dyDescent="0.25">
      <c r="C111" s="44"/>
    </row>
    <row r="112" spans="3:3" x14ac:dyDescent="0.25">
      <c r="C112" s="44"/>
    </row>
    <row r="113" spans="3:3" x14ac:dyDescent="0.25">
      <c r="C113" s="44"/>
    </row>
    <row r="114" spans="3:3" x14ac:dyDescent="0.25">
      <c r="C114" s="44"/>
    </row>
    <row r="115" spans="3:3" x14ac:dyDescent="0.25">
      <c r="C115" s="44"/>
    </row>
    <row r="116" spans="3:3" x14ac:dyDescent="0.25">
      <c r="C116" s="44"/>
    </row>
    <row r="117" spans="3:3" x14ac:dyDescent="0.25">
      <c r="C117" s="44"/>
    </row>
    <row r="118" spans="3:3" x14ac:dyDescent="0.25">
      <c r="C118" s="44"/>
    </row>
    <row r="119" spans="3:3" x14ac:dyDescent="0.25">
      <c r="C119" s="44"/>
    </row>
    <row r="120" spans="3:3" x14ac:dyDescent="0.25">
      <c r="C120" s="44"/>
    </row>
    <row r="121" spans="3:3" x14ac:dyDescent="0.25">
      <c r="C121" s="44"/>
    </row>
    <row r="122" spans="3:3" x14ac:dyDescent="0.25">
      <c r="C122" s="44"/>
    </row>
    <row r="123" spans="3:3" x14ac:dyDescent="0.25">
      <c r="C123" s="44"/>
    </row>
    <row r="124" spans="3:3" x14ac:dyDescent="0.25">
      <c r="C124" s="44"/>
    </row>
    <row r="125" spans="3:3" x14ac:dyDescent="0.25">
      <c r="C125" s="44"/>
    </row>
    <row r="126" spans="3:3" x14ac:dyDescent="0.25">
      <c r="C126" s="44"/>
    </row>
    <row r="127" spans="3:3" x14ac:dyDescent="0.25">
      <c r="C127" s="44"/>
    </row>
    <row r="128" spans="3:3" x14ac:dyDescent="0.25">
      <c r="C128" s="44"/>
    </row>
    <row r="129" spans="3:3" x14ac:dyDescent="0.25">
      <c r="C129" s="44"/>
    </row>
    <row r="130" spans="3:3" x14ac:dyDescent="0.25">
      <c r="C130" s="44"/>
    </row>
    <row r="131" spans="3:3" x14ac:dyDescent="0.25">
      <c r="C131" s="44"/>
    </row>
    <row r="132" spans="3:3" x14ac:dyDescent="0.25">
      <c r="C132" s="44"/>
    </row>
    <row r="133" spans="3:3" x14ac:dyDescent="0.25">
      <c r="C133" s="44"/>
    </row>
    <row r="134" spans="3:3" x14ac:dyDescent="0.25">
      <c r="C134" s="44"/>
    </row>
  </sheetData>
  <sheetProtection algorithmName="SHA-512" hashValue="ueJJbxxoV8DquRYje67HF29psdqt1XekPJgyv/qdL5aaA7AK0OczeA8Rs54vgL06bMIXdmC3yj2r/Xdw0SvVOA==" saltValue="OqtuoHzIIpzu06FtrMLVIQ==" spinCount="100000" sheet="1" objects="1" scenarios="1"/>
  <printOptions horizontalCentered="1"/>
  <pageMargins left="0.7" right="0.7" top="0.75" bottom="0.75" header="0.3" footer="0.3"/>
  <pageSetup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
  <sheetViews>
    <sheetView topLeftCell="B1" zoomScaleNormal="100" workbookViewId="0">
      <selection activeCell="Q3" sqref="Q3"/>
    </sheetView>
  </sheetViews>
  <sheetFormatPr defaultColWidth="8.6640625" defaultRowHeight="13.8" x14ac:dyDescent="0.25"/>
  <cols>
    <col min="1" max="1" width="94" style="4" customWidth="1"/>
    <col min="2" max="19" width="8.6640625" style="4" customWidth="1"/>
    <col min="20" max="16384" width="8.6640625" style="4"/>
  </cols>
  <sheetData>
    <row r="1" spans="1:18" ht="25.35" customHeight="1" x14ac:dyDescent="0.25">
      <c r="A1" s="92" t="s">
        <v>28</v>
      </c>
      <c r="B1" s="93"/>
      <c r="C1" s="93"/>
      <c r="D1" s="93"/>
      <c r="E1" s="8"/>
      <c r="F1" s="8"/>
      <c r="G1" s="8"/>
      <c r="H1" s="8"/>
      <c r="I1" s="8"/>
      <c r="J1" s="8"/>
      <c r="K1" s="8"/>
      <c r="L1" s="8"/>
      <c r="M1" s="8"/>
      <c r="N1" s="8"/>
      <c r="O1" s="8"/>
      <c r="P1" s="8"/>
      <c r="Q1" s="8"/>
      <c r="R1" s="8"/>
    </row>
    <row r="2" spans="1:18" ht="25.35" customHeight="1" x14ac:dyDescent="0.25">
      <c r="A2" s="95" t="s">
        <v>40</v>
      </c>
      <c r="B2" s="95" t="s">
        <v>75</v>
      </c>
      <c r="C2" s="95" t="s">
        <v>76</v>
      </c>
      <c r="D2" s="95" t="s">
        <v>77</v>
      </c>
      <c r="E2" s="95" t="s">
        <v>78</v>
      </c>
      <c r="F2" s="95" t="s">
        <v>79</v>
      </c>
      <c r="G2" s="95" t="s">
        <v>80</v>
      </c>
      <c r="H2" s="95" t="s">
        <v>81</v>
      </c>
      <c r="I2" s="95" t="s">
        <v>82</v>
      </c>
      <c r="J2" s="95" t="s">
        <v>83</v>
      </c>
      <c r="K2" s="95" t="s">
        <v>84</v>
      </c>
      <c r="L2" s="95" t="s">
        <v>85</v>
      </c>
      <c r="M2" s="95" t="s">
        <v>86</v>
      </c>
      <c r="N2" s="95" t="s">
        <v>87</v>
      </c>
      <c r="O2" s="95" t="s">
        <v>88</v>
      </c>
      <c r="P2" s="95" t="s">
        <v>89</v>
      </c>
      <c r="Q2" s="95" t="s">
        <v>90</v>
      </c>
      <c r="R2" s="95" t="s">
        <v>91</v>
      </c>
    </row>
    <row r="3" spans="1:18" ht="15" x14ac:dyDescent="0.25">
      <c r="A3" s="17" t="s">
        <v>175</v>
      </c>
      <c r="B3" s="20">
        <v>0</v>
      </c>
      <c r="C3" s="20">
        <v>0</v>
      </c>
      <c r="D3" s="20">
        <v>0</v>
      </c>
      <c r="E3" s="20">
        <v>0</v>
      </c>
      <c r="F3" s="20">
        <v>0</v>
      </c>
      <c r="G3" s="20">
        <f>AVERAGE('Data Source for MERV Table'!G4:G5)/3</f>
        <v>1.8333333333333333E-2</v>
      </c>
      <c r="H3" s="20">
        <f>G3</f>
        <v>1.8333333333333333E-2</v>
      </c>
      <c r="I3" s="20">
        <f>AVERAGE('Data Source for MERV Table'!I4:I5)/3</f>
        <v>0.14833333333333332</v>
      </c>
      <c r="J3" s="20">
        <f>AVERAGE('Data Source for MERV Table'!J4:J5)/3</f>
        <v>0.14833333333333332</v>
      </c>
      <c r="K3" s="20">
        <f>J3</f>
        <v>0.14833333333333332</v>
      </c>
      <c r="L3" s="20">
        <f>K3</f>
        <v>0.14833333333333332</v>
      </c>
      <c r="M3" s="20">
        <f>AVERAGE('Data Source for MERV Table'!M4:M5)/3</f>
        <v>0.19333333333333336</v>
      </c>
      <c r="N3" s="20">
        <f>AVERAGE('Data Source for MERV Table'!N4:N5)/3</f>
        <v>0.19333333333333336</v>
      </c>
      <c r="O3" s="21">
        <f>65/100</f>
        <v>0.65</v>
      </c>
      <c r="P3" s="21">
        <f>75/100</f>
        <v>0.75</v>
      </c>
      <c r="Q3" s="21">
        <f>85/100</f>
        <v>0.85</v>
      </c>
      <c r="R3" s="21">
        <f>95/100</f>
        <v>0.95</v>
      </c>
    </row>
    <row r="4" spans="1:18" ht="15" x14ac:dyDescent="0.25">
      <c r="A4" s="17" t="s">
        <v>176</v>
      </c>
      <c r="B4" s="20">
        <v>0</v>
      </c>
      <c r="C4" s="22">
        <v>0</v>
      </c>
      <c r="D4" s="22">
        <v>0</v>
      </c>
      <c r="E4" s="22">
        <v>0</v>
      </c>
      <c r="F4" s="22">
        <v>0</v>
      </c>
      <c r="G4" s="22">
        <f>AVERAGE('Data Source for MERV Table'!G5:G6)/3</f>
        <v>8.3333333333333329E-2</v>
      </c>
      <c r="H4" s="22">
        <f>G4</f>
        <v>8.3333333333333329E-2</v>
      </c>
      <c r="I4" s="20">
        <f>AVERAGE('Data Source for MERV Table'!I5:I6)/3</f>
        <v>0.27499999999999997</v>
      </c>
      <c r="J4" s="20">
        <f>AVERAGE('Data Source for MERV Table'!J5:J6)/3</f>
        <v>0.27499999999999997</v>
      </c>
      <c r="K4" s="23">
        <f>40/100</f>
        <v>0.4</v>
      </c>
      <c r="L4" s="23">
        <f>50/100</f>
        <v>0.5</v>
      </c>
      <c r="M4" s="23">
        <f>65/100</f>
        <v>0.65</v>
      </c>
      <c r="N4" s="23">
        <f>80/100</f>
        <v>0.8</v>
      </c>
      <c r="O4" s="21">
        <f t="shared" ref="O4:Q5" si="0">90/100</f>
        <v>0.9</v>
      </c>
      <c r="P4" s="21">
        <f t="shared" si="0"/>
        <v>0.9</v>
      </c>
      <c r="Q4" s="21">
        <f t="shared" si="0"/>
        <v>0.9</v>
      </c>
      <c r="R4" s="21">
        <f>95/100</f>
        <v>0.95</v>
      </c>
    </row>
    <row r="5" spans="1:18" ht="24" customHeight="1" x14ac:dyDescent="0.25">
      <c r="A5" s="17" t="s">
        <v>177</v>
      </c>
      <c r="B5" s="20">
        <v>0</v>
      </c>
      <c r="C5" s="23">
        <f>10/100</f>
        <v>0.1</v>
      </c>
      <c r="D5" s="23">
        <f>10/100</f>
        <v>0.1</v>
      </c>
      <c r="E5" s="23">
        <f>10/100</f>
        <v>0.1</v>
      </c>
      <c r="F5" s="23">
        <f>10/100</f>
        <v>0.1</v>
      </c>
      <c r="G5" s="23">
        <f>20/100</f>
        <v>0.2</v>
      </c>
      <c r="H5" s="23">
        <f>35/100</f>
        <v>0.35</v>
      </c>
      <c r="I5" s="23">
        <f>50/100</f>
        <v>0.5</v>
      </c>
      <c r="J5" s="23">
        <f>70/100</f>
        <v>0.7</v>
      </c>
      <c r="K5" s="23">
        <f>85/100</f>
        <v>0.85</v>
      </c>
      <c r="L5" s="23">
        <f>85/100</f>
        <v>0.85</v>
      </c>
      <c r="M5" s="23">
        <f>85/100</f>
        <v>0.85</v>
      </c>
      <c r="N5" s="23">
        <f>90/100</f>
        <v>0.9</v>
      </c>
      <c r="O5" s="21">
        <f t="shared" si="0"/>
        <v>0.9</v>
      </c>
      <c r="P5" s="21">
        <f t="shared" si="0"/>
        <v>0.9</v>
      </c>
      <c r="Q5" s="21">
        <f t="shared" si="0"/>
        <v>0.9</v>
      </c>
      <c r="R5" s="21">
        <f>95/100</f>
        <v>0.95</v>
      </c>
    </row>
    <row r="6" spans="1:18" s="9" customFormat="1" ht="324" customHeight="1" x14ac:dyDescent="0.25">
      <c r="A6" s="94" t="s">
        <v>201</v>
      </c>
      <c r="B6" s="71"/>
      <c r="C6" s="71"/>
      <c r="D6" s="71"/>
      <c r="E6" s="10"/>
      <c r="F6" s="10"/>
      <c r="G6" s="10"/>
      <c r="H6" s="10"/>
      <c r="I6" s="10"/>
      <c r="J6" s="10"/>
      <c r="K6" s="10"/>
      <c r="L6" s="10"/>
      <c r="M6" s="10"/>
      <c r="N6" s="10"/>
      <c r="O6" s="10"/>
      <c r="P6" s="10"/>
      <c r="Q6" s="10"/>
      <c r="R6" s="10"/>
    </row>
    <row r="7" spans="1:18" x14ac:dyDescent="0.25">
      <c r="A7" s="72"/>
      <c r="B7" s="72"/>
      <c r="C7" s="72"/>
      <c r="D7" s="72"/>
    </row>
    <row r="8" spans="1:18" x14ac:dyDescent="0.25">
      <c r="A8" s="72"/>
      <c r="B8" s="72"/>
      <c r="C8" s="72"/>
      <c r="D8" s="72"/>
    </row>
    <row r="9" spans="1:18" x14ac:dyDescent="0.25">
      <c r="A9" s="72"/>
      <c r="B9" s="72"/>
      <c r="C9" s="72"/>
      <c r="D9" s="72"/>
    </row>
    <row r="10" spans="1:18" x14ac:dyDescent="0.25">
      <c r="A10" s="72"/>
      <c r="B10" s="72"/>
      <c r="C10" s="72"/>
      <c r="D10" s="72"/>
    </row>
  </sheetData>
  <sheetProtection algorithmName="SHA-512" hashValue="ogdYFVmeFXkt4UxT9h7PTkIboP1vFUCEzVhBXuYnn8SwV2xVBXmrS5yFxXeUGzGpL01yrUgJ5hCm68yEE658NA==" saltValue="cBEYKTNoOc2jBBXTXNNHjg==" spinCount="100000" sheet="1" objects="1" scenarios="1"/>
  <pageMargins left="0.7" right="0.7" top="0.75" bottom="0.75" header="0.3" footer="0.3"/>
  <pageSetup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9"/>
  <sheetViews>
    <sheetView topLeftCell="B1" workbookViewId="0">
      <selection activeCell="L20" sqref="L20"/>
    </sheetView>
  </sheetViews>
  <sheetFormatPr defaultColWidth="8.6640625" defaultRowHeight="13.8" x14ac:dyDescent="0.25"/>
  <cols>
    <col min="1" max="1" width="46.6640625" style="4" customWidth="1"/>
    <col min="2" max="19" width="8.6640625" style="4" customWidth="1"/>
    <col min="20" max="16384" width="8.6640625" style="4"/>
  </cols>
  <sheetData>
    <row r="1" spans="1:19" s="91" customFormat="1" ht="25.35" customHeight="1" x14ac:dyDescent="0.25">
      <c r="A1" s="90" t="s">
        <v>93</v>
      </c>
      <c r="B1" s="73"/>
      <c r="C1" s="73"/>
      <c r="D1" s="73"/>
      <c r="E1" s="73"/>
      <c r="F1" s="73"/>
      <c r="G1" s="73"/>
    </row>
    <row r="2" spans="1:19" s="8" customFormat="1" ht="25.35" customHeight="1" x14ac:dyDescent="0.25">
      <c r="A2" s="46" t="s">
        <v>40</v>
      </c>
      <c r="B2" s="47" t="s">
        <v>75</v>
      </c>
      <c r="C2" s="47" t="s">
        <v>76</v>
      </c>
      <c r="D2" s="47" t="s">
        <v>77</v>
      </c>
      <c r="E2" s="47" t="s">
        <v>78</v>
      </c>
      <c r="F2" s="47" t="s">
        <v>79</v>
      </c>
      <c r="G2" s="47" t="s">
        <v>80</v>
      </c>
      <c r="H2" s="47" t="s">
        <v>81</v>
      </c>
      <c r="I2" s="47" t="s">
        <v>82</v>
      </c>
      <c r="J2" s="47" t="s">
        <v>83</v>
      </c>
      <c r="K2" s="47" t="s">
        <v>84</v>
      </c>
      <c r="L2" s="47" t="s">
        <v>85</v>
      </c>
      <c r="M2" s="47" t="s">
        <v>86</v>
      </c>
      <c r="N2" s="47" t="s">
        <v>87</v>
      </c>
      <c r="O2" s="47" t="s">
        <v>88</v>
      </c>
      <c r="P2" s="47" t="s">
        <v>89</v>
      </c>
      <c r="Q2" s="47" t="s">
        <v>90</v>
      </c>
      <c r="R2" s="48" t="s">
        <v>91</v>
      </c>
    </row>
    <row r="3" spans="1:19" s="8" customFormat="1" ht="21" customHeight="1" x14ac:dyDescent="0.25">
      <c r="A3" s="45" t="s">
        <v>145</v>
      </c>
      <c r="B3" s="20">
        <v>0</v>
      </c>
      <c r="C3" s="89" t="s">
        <v>114</v>
      </c>
      <c r="D3" s="89" t="s">
        <v>114</v>
      </c>
      <c r="E3" s="89" t="s">
        <v>114</v>
      </c>
      <c r="F3" s="89" t="s">
        <v>114</v>
      </c>
      <c r="G3" s="24">
        <v>0.01</v>
      </c>
      <c r="H3" s="89" t="s">
        <v>114</v>
      </c>
      <c r="I3" s="24">
        <v>0.2</v>
      </c>
      <c r="J3" s="24">
        <v>0.2</v>
      </c>
      <c r="K3" s="89" t="s">
        <v>114</v>
      </c>
      <c r="L3" s="89" t="s">
        <v>114</v>
      </c>
      <c r="M3" s="24">
        <v>0.4</v>
      </c>
      <c r="N3" s="24">
        <v>0.4</v>
      </c>
      <c r="O3" s="89" t="s">
        <v>114</v>
      </c>
      <c r="P3" s="25">
        <v>0.86</v>
      </c>
      <c r="Q3" s="25">
        <v>0.86</v>
      </c>
      <c r="R3" s="89" t="s">
        <v>114</v>
      </c>
      <c r="S3" s="26"/>
    </row>
    <row r="4" spans="1:19" s="8" customFormat="1" ht="21" customHeight="1" x14ac:dyDescent="0.25">
      <c r="A4" s="45" t="s">
        <v>146</v>
      </c>
      <c r="B4" s="20">
        <v>0</v>
      </c>
      <c r="C4" s="89" t="s">
        <v>114</v>
      </c>
      <c r="D4" s="89" t="s">
        <v>114</v>
      </c>
      <c r="E4" s="89" t="s">
        <v>114</v>
      </c>
      <c r="F4" s="89" t="s">
        <v>114</v>
      </c>
      <c r="G4" s="24">
        <v>0.01</v>
      </c>
      <c r="H4" s="89" t="s">
        <v>114</v>
      </c>
      <c r="I4" s="24">
        <v>0.2</v>
      </c>
      <c r="J4" s="24">
        <v>0.2</v>
      </c>
      <c r="K4" s="89" t="s">
        <v>114</v>
      </c>
      <c r="L4" s="89" t="s">
        <v>114</v>
      </c>
      <c r="M4" s="27">
        <v>0.4</v>
      </c>
      <c r="N4" s="27">
        <v>0.4</v>
      </c>
      <c r="O4" s="89" t="s">
        <v>114</v>
      </c>
      <c r="P4" s="25">
        <v>0.86</v>
      </c>
      <c r="Q4" s="25">
        <v>0.86</v>
      </c>
      <c r="R4" s="89" t="s">
        <v>114</v>
      </c>
      <c r="S4" s="26"/>
    </row>
    <row r="5" spans="1:19" s="8" customFormat="1" ht="21" customHeight="1" x14ac:dyDescent="0.25">
      <c r="A5" s="45" t="s">
        <v>147</v>
      </c>
      <c r="B5" s="20">
        <v>0</v>
      </c>
      <c r="C5" s="89" t="s">
        <v>114</v>
      </c>
      <c r="D5" s="89" t="s">
        <v>114</v>
      </c>
      <c r="E5" s="89" t="s">
        <v>114</v>
      </c>
      <c r="F5" s="89" t="s">
        <v>114</v>
      </c>
      <c r="G5" s="24">
        <v>0.1</v>
      </c>
      <c r="H5" s="89" t="s">
        <v>114</v>
      </c>
      <c r="I5" s="24">
        <v>0.69</v>
      </c>
      <c r="J5" s="24">
        <v>0.69</v>
      </c>
      <c r="K5" s="89" t="s">
        <v>114</v>
      </c>
      <c r="L5" s="89" t="s">
        <v>114</v>
      </c>
      <c r="M5" s="27">
        <v>0.76</v>
      </c>
      <c r="N5" s="27">
        <v>0.76</v>
      </c>
      <c r="O5" s="89" t="s">
        <v>114</v>
      </c>
      <c r="P5" s="25">
        <v>0.98</v>
      </c>
      <c r="Q5" s="25">
        <v>0.98</v>
      </c>
      <c r="R5" s="89" t="s">
        <v>114</v>
      </c>
      <c r="S5" s="26"/>
    </row>
    <row r="6" spans="1:19" s="8" customFormat="1" ht="21" customHeight="1" x14ac:dyDescent="0.25">
      <c r="A6" s="45" t="s">
        <v>143</v>
      </c>
      <c r="B6" s="20">
        <v>0</v>
      </c>
      <c r="C6" s="89" t="s">
        <v>114</v>
      </c>
      <c r="D6" s="89" t="s">
        <v>114</v>
      </c>
      <c r="E6" s="89" t="s">
        <v>114</v>
      </c>
      <c r="F6" s="89" t="s">
        <v>114</v>
      </c>
      <c r="G6" s="24">
        <v>0.4</v>
      </c>
      <c r="H6" s="89" t="s">
        <v>114</v>
      </c>
      <c r="I6" s="24">
        <v>0.96</v>
      </c>
      <c r="J6" s="24">
        <v>0.96</v>
      </c>
      <c r="K6" s="89" t="s">
        <v>114</v>
      </c>
      <c r="L6" s="89" t="s">
        <v>114</v>
      </c>
      <c r="M6" s="24">
        <v>0.95</v>
      </c>
      <c r="N6" s="24">
        <v>0.95</v>
      </c>
      <c r="O6" s="89" t="s">
        <v>114</v>
      </c>
      <c r="P6" s="25">
        <v>1</v>
      </c>
      <c r="Q6" s="25">
        <v>1</v>
      </c>
      <c r="R6" s="89" t="s">
        <v>114</v>
      </c>
      <c r="S6" s="26"/>
    </row>
    <row r="7" spans="1:19" s="8" customFormat="1" ht="21" customHeight="1" x14ac:dyDescent="0.25">
      <c r="A7" s="49" t="s">
        <v>144</v>
      </c>
      <c r="B7" s="50">
        <v>0</v>
      </c>
      <c r="C7" s="89" t="s">
        <v>114</v>
      </c>
      <c r="D7" s="89" t="s">
        <v>114</v>
      </c>
      <c r="E7" s="89" t="s">
        <v>114</v>
      </c>
      <c r="F7" s="89" t="s">
        <v>114</v>
      </c>
      <c r="G7" s="51">
        <v>0.45</v>
      </c>
      <c r="H7" s="89" t="s">
        <v>114</v>
      </c>
      <c r="I7" s="51">
        <v>0.99</v>
      </c>
      <c r="J7" s="51">
        <v>0.99</v>
      </c>
      <c r="K7" s="89" t="s">
        <v>114</v>
      </c>
      <c r="L7" s="89" t="s">
        <v>114</v>
      </c>
      <c r="M7" s="52">
        <v>0.98</v>
      </c>
      <c r="N7" s="52">
        <v>0.98</v>
      </c>
      <c r="O7" s="89" t="s">
        <v>114</v>
      </c>
      <c r="P7" s="53">
        <v>1</v>
      </c>
      <c r="Q7" s="53">
        <v>1</v>
      </c>
      <c r="R7" s="89" t="s">
        <v>114</v>
      </c>
    </row>
    <row r="8" spans="1:19" ht="15" x14ac:dyDescent="0.25">
      <c r="A8" s="8" t="s">
        <v>95</v>
      </c>
    </row>
    <row r="9" spans="1:19" ht="15" x14ac:dyDescent="0.25">
      <c r="A9" s="8" t="s">
        <v>94</v>
      </c>
    </row>
  </sheetData>
  <sheetProtection algorithmName="SHA-512" hashValue="EndtAqu5p8Z0SThbG3eQ1t6G7GTKzHMl0sUUXGM8jZm2HPQHQ67iPL60JUloAH6tEwTzGzR3pz9HJZ/Rw3TANQ==" saltValue="CImtmNhoSKY+4SnReNMcWg==" spinCount="100000" sheet="1" objects="1" scenarios="1"/>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0"/>
  <sheetViews>
    <sheetView zoomScaleNormal="100" workbookViewId="0">
      <selection activeCell="C6" sqref="C6"/>
    </sheetView>
  </sheetViews>
  <sheetFormatPr defaultColWidth="8.6640625" defaultRowHeight="15" x14ac:dyDescent="0.25"/>
  <cols>
    <col min="1" max="1" width="38.44140625" style="16" customWidth="1"/>
    <col min="2" max="2" width="63" style="16" customWidth="1"/>
    <col min="3" max="3" width="38.33203125" style="44" customWidth="1"/>
    <col min="4" max="4" width="12.33203125" style="16" customWidth="1"/>
    <col min="5" max="5" width="46.5546875" style="16" customWidth="1"/>
    <col min="6" max="16384" width="8.6640625" style="8"/>
  </cols>
  <sheetData>
    <row r="1" spans="1:5" s="33" customFormat="1" ht="25.35" customHeight="1" x14ac:dyDescent="0.3">
      <c r="A1" s="19" t="s">
        <v>149</v>
      </c>
      <c r="B1" s="36"/>
      <c r="C1" s="37"/>
      <c r="D1" s="36"/>
      <c r="E1" s="36"/>
    </row>
    <row r="2" spans="1:5" ht="25.35" customHeight="1" x14ac:dyDescent="0.25">
      <c r="A2" s="60" t="s">
        <v>15</v>
      </c>
      <c r="B2" s="61" t="s">
        <v>1</v>
      </c>
      <c r="C2" s="61" t="s">
        <v>62</v>
      </c>
      <c r="D2" s="61" t="s">
        <v>16</v>
      </c>
      <c r="E2" s="62" t="s">
        <v>17</v>
      </c>
    </row>
    <row r="3" spans="1:5" x14ac:dyDescent="0.25">
      <c r="A3" s="54" t="s">
        <v>18</v>
      </c>
      <c r="B3" s="17" t="s">
        <v>3</v>
      </c>
      <c r="C3" s="75">
        <f>'Other Default Inputs'!C3</f>
        <v>3</v>
      </c>
      <c r="D3" s="11" t="s">
        <v>0</v>
      </c>
      <c r="E3" s="55" t="s">
        <v>102</v>
      </c>
    </row>
    <row r="4" spans="1:5" ht="30" x14ac:dyDescent="0.25">
      <c r="A4" s="54" t="s">
        <v>18</v>
      </c>
      <c r="B4" s="17" t="s">
        <v>4</v>
      </c>
      <c r="C4" s="96">
        <f>C3*'Simplified User Inputs'!C3</f>
        <v>267.89999999999998</v>
      </c>
      <c r="D4" s="11" t="s">
        <v>71</v>
      </c>
      <c r="E4" s="74" t="s">
        <v>178</v>
      </c>
    </row>
    <row r="5" spans="1:5" ht="17.399999999999999" x14ac:dyDescent="0.25">
      <c r="A5" s="54" t="s">
        <v>54</v>
      </c>
      <c r="B5" s="17" t="s">
        <v>8</v>
      </c>
      <c r="C5" s="38">
        <f>'Other Default Inputs'!C4</f>
        <v>0.5</v>
      </c>
      <c r="D5" s="11" t="s">
        <v>61</v>
      </c>
      <c r="E5" s="55" t="s">
        <v>102</v>
      </c>
    </row>
    <row r="6" spans="1:5" x14ac:dyDescent="0.25">
      <c r="A6" s="54" t="s">
        <v>54</v>
      </c>
      <c r="B6" s="17" t="s">
        <v>11</v>
      </c>
      <c r="C6" s="96">
        <f>'Simplified User Inputs'!C4-'Simplified User Inputs'!C7</f>
        <v>26</v>
      </c>
      <c r="D6" s="11" t="s">
        <v>5</v>
      </c>
      <c r="E6" s="55" t="s">
        <v>103</v>
      </c>
    </row>
    <row r="7" spans="1:5" ht="17.399999999999999" x14ac:dyDescent="0.25">
      <c r="A7" s="54" t="s">
        <v>54</v>
      </c>
      <c r="B7" s="17" t="s">
        <v>183</v>
      </c>
      <c r="C7" s="75">
        <f>'Other Default Inputs'!C5</f>
        <v>1</v>
      </c>
      <c r="D7" s="11" t="s">
        <v>68</v>
      </c>
      <c r="E7" s="55" t="s">
        <v>102</v>
      </c>
    </row>
    <row r="8" spans="1:5" ht="31.2" x14ac:dyDescent="0.25">
      <c r="A8" s="54" t="s">
        <v>54</v>
      </c>
      <c r="B8" s="40" t="s">
        <v>29</v>
      </c>
      <c r="C8" s="99">
        <v>0</v>
      </c>
      <c r="D8" s="41" t="s">
        <v>92</v>
      </c>
      <c r="E8" s="57" t="s">
        <v>46</v>
      </c>
    </row>
    <row r="9" spans="1:5" ht="30" x14ac:dyDescent="0.25">
      <c r="A9" s="54" t="s">
        <v>54</v>
      </c>
      <c r="B9" s="17" t="s">
        <v>184</v>
      </c>
      <c r="C9" s="42">
        <f>IF('Simplified User Inputs'!C8=0,'Reference Case Definition'!C7,IF('Simplified User Inputs'!C8=1,'Reference Case Definition'!C7*(1-C8),"Input mask information"))</f>
        <v>1</v>
      </c>
      <c r="D9" s="11" t="s">
        <v>68</v>
      </c>
      <c r="E9" s="74" t="s">
        <v>178</v>
      </c>
    </row>
    <row r="10" spans="1:5" x14ac:dyDescent="0.25">
      <c r="A10" s="54" t="s">
        <v>21</v>
      </c>
      <c r="B10" s="17" t="s">
        <v>129</v>
      </c>
      <c r="C10" s="24">
        <f>'Other Default Inputs'!C7</f>
        <v>0.2</v>
      </c>
      <c r="D10" s="11" t="s">
        <v>64</v>
      </c>
      <c r="E10" s="55" t="s">
        <v>102</v>
      </c>
    </row>
    <row r="11" spans="1:5" x14ac:dyDescent="0.25">
      <c r="A11" s="54" t="s">
        <v>21</v>
      </c>
      <c r="B11" s="17" t="s">
        <v>117</v>
      </c>
      <c r="C11" s="24">
        <f>'Other Default Inputs'!C8</f>
        <v>0.3</v>
      </c>
      <c r="D11" s="11" t="s">
        <v>64</v>
      </c>
      <c r="E11" s="55" t="s">
        <v>102</v>
      </c>
    </row>
    <row r="12" spans="1:5" x14ac:dyDescent="0.25">
      <c r="A12" s="54" t="s">
        <v>21</v>
      </c>
      <c r="B12" s="17" t="s">
        <v>118</v>
      </c>
      <c r="C12" s="24">
        <f>'Other Default Inputs'!C9</f>
        <v>0.5</v>
      </c>
      <c r="D12" s="11" t="s">
        <v>64</v>
      </c>
      <c r="E12" s="55" t="s">
        <v>102</v>
      </c>
    </row>
    <row r="13" spans="1:5" x14ac:dyDescent="0.25">
      <c r="A13" s="54" t="s">
        <v>21</v>
      </c>
      <c r="B13" s="17" t="s">
        <v>126</v>
      </c>
      <c r="C13" s="24">
        <f>'Other Default Inputs'!C10</f>
        <v>0.2</v>
      </c>
      <c r="D13" s="11" t="s">
        <v>64</v>
      </c>
      <c r="E13" s="55" t="s">
        <v>102</v>
      </c>
    </row>
    <row r="14" spans="1:5" x14ac:dyDescent="0.25">
      <c r="A14" s="54" t="s">
        <v>21</v>
      </c>
      <c r="B14" s="17" t="s">
        <v>119</v>
      </c>
      <c r="C14" s="24">
        <f>'Other Default Inputs'!C11</f>
        <v>0.3</v>
      </c>
      <c r="D14" s="11" t="s">
        <v>64</v>
      </c>
      <c r="E14" s="55" t="s">
        <v>102</v>
      </c>
    </row>
    <row r="15" spans="1:5" x14ac:dyDescent="0.25">
      <c r="A15" s="54" t="s">
        <v>21</v>
      </c>
      <c r="B15" s="17" t="s">
        <v>120</v>
      </c>
      <c r="C15" s="24">
        <f>'Other Default Inputs'!C12</f>
        <v>0.5</v>
      </c>
      <c r="D15" s="11" t="s">
        <v>64</v>
      </c>
      <c r="E15" s="55" t="s">
        <v>102</v>
      </c>
    </row>
    <row r="16" spans="1:5" ht="46.8" x14ac:dyDescent="0.25">
      <c r="A16" s="54" t="s">
        <v>34</v>
      </c>
      <c r="B16" s="40" t="s">
        <v>185</v>
      </c>
      <c r="C16" s="98">
        <f>7*'Simplified User Inputs'!C4*3600/1000</f>
        <v>680.4</v>
      </c>
      <c r="D16" s="40" t="s">
        <v>73</v>
      </c>
      <c r="E16" s="59" t="s">
        <v>55</v>
      </c>
    </row>
    <row r="17" spans="1:5" ht="17.399999999999999" x14ac:dyDescent="0.25">
      <c r="A17" s="54" t="s">
        <v>34</v>
      </c>
      <c r="B17" s="17" t="s">
        <v>37</v>
      </c>
      <c r="C17" s="42">
        <f>C16/C4</f>
        <v>2.5397536394176932</v>
      </c>
      <c r="D17" s="11" t="s">
        <v>68</v>
      </c>
      <c r="E17" s="74" t="s">
        <v>96</v>
      </c>
    </row>
    <row r="18" spans="1:5" ht="30" x14ac:dyDescent="0.25">
      <c r="A18" s="54" t="s">
        <v>34</v>
      </c>
      <c r="B18" s="17" t="s">
        <v>35</v>
      </c>
      <c r="C18" s="96">
        <f>C4*C19</f>
        <v>53.58</v>
      </c>
      <c r="D18" s="11" t="s">
        <v>61</v>
      </c>
      <c r="E18" s="74" t="s">
        <v>104</v>
      </c>
    </row>
    <row r="19" spans="1:5" ht="17.399999999999999" x14ac:dyDescent="0.25">
      <c r="A19" s="54" t="s">
        <v>34</v>
      </c>
      <c r="B19" s="17" t="s">
        <v>36</v>
      </c>
      <c r="C19" s="38">
        <f>'Other Default Inputs'!C13</f>
        <v>0.2</v>
      </c>
      <c r="D19" s="11" t="s">
        <v>68</v>
      </c>
      <c r="E19" s="55" t="s">
        <v>102</v>
      </c>
    </row>
    <row r="20" spans="1:5" ht="17.399999999999999" x14ac:dyDescent="0.25">
      <c r="A20" s="54" t="s">
        <v>34</v>
      </c>
      <c r="B20" s="17" t="s">
        <v>44</v>
      </c>
      <c r="C20" s="96">
        <f>C16+C18</f>
        <v>733.98</v>
      </c>
      <c r="D20" s="11" t="s">
        <v>61</v>
      </c>
      <c r="E20" s="74" t="s">
        <v>97</v>
      </c>
    </row>
    <row r="21" spans="1:5" ht="30" x14ac:dyDescent="0.25">
      <c r="A21" s="54" t="s">
        <v>34</v>
      </c>
      <c r="B21" s="17" t="s">
        <v>45</v>
      </c>
      <c r="C21" s="42">
        <f>C20/C4</f>
        <v>2.7397536394176933</v>
      </c>
      <c r="D21" s="11" t="s">
        <v>2</v>
      </c>
      <c r="E21" s="74" t="s">
        <v>108</v>
      </c>
    </row>
    <row r="22" spans="1:5" ht="17.399999999999999" x14ac:dyDescent="0.25">
      <c r="A22" s="54" t="s">
        <v>19</v>
      </c>
      <c r="B22" s="17" t="s">
        <v>128</v>
      </c>
      <c r="C22" s="38">
        <f>'Other Default Inputs'!C14</f>
        <v>0.14000000000000001</v>
      </c>
      <c r="D22" s="11" t="s">
        <v>68</v>
      </c>
      <c r="E22" s="55" t="s">
        <v>102</v>
      </c>
    </row>
    <row r="23" spans="1:5" ht="17.399999999999999" x14ac:dyDescent="0.25">
      <c r="A23" s="54" t="s">
        <v>19</v>
      </c>
      <c r="B23" s="17" t="s">
        <v>121</v>
      </c>
      <c r="C23" s="38">
        <f>'Other Default Inputs'!C15</f>
        <v>0.28999999999999998</v>
      </c>
      <c r="D23" s="11" t="s">
        <v>68</v>
      </c>
      <c r="E23" s="55" t="s">
        <v>102</v>
      </c>
    </row>
    <row r="24" spans="1:5" ht="17.399999999999999" x14ac:dyDescent="0.25">
      <c r="A24" s="54" t="s">
        <v>19</v>
      </c>
      <c r="B24" s="17" t="s">
        <v>122</v>
      </c>
      <c r="C24" s="38">
        <f>'Other Default Inputs'!C16</f>
        <v>0.91</v>
      </c>
      <c r="D24" s="11" t="s">
        <v>68</v>
      </c>
      <c r="E24" s="55" t="s">
        <v>102</v>
      </c>
    </row>
    <row r="25" spans="1:5" ht="30" x14ac:dyDescent="0.25">
      <c r="A25" s="54" t="s">
        <v>19</v>
      </c>
      <c r="B25" s="17" t="s">
        <v>12</v>
      </c>
      <c r="C25" s="39">
        <f>'Other Calculations'!C11</f>
        <v>0.57000000000000006</v>
      </c>
      <c r="D25" s="11" t="s">
        <v>68</v>
      </c>
      <c r="E25" s="74" t="s">
        <v>105</v>
      </c>
    </row>
    <row r="26" spans="1:5" ht="17.399999999999999" x14ac:dyDescent="0.25">
      <c r="A26" s="54" t="s">
        <v>20</v>
      </c>
      <c r="B26" s="17" t="s">
        <v>30</v>
      </c>
      <c r="C26" s="75">
        <f>'Other Default Inputs'!C17</f>
        <v>6</v>
      </c>
      <c r="D26" s="11" t="s">
        <v>68</v>
      </c>
      <c r="E26" s="55" t="s">
        <v>102</v>
      </c>
    </row>
    <row r="27" spans="1:5" x14ac:dyDescent="0.25">
      <c r="A27" s="54" t="s">
        <v>20</v>
      </c>
      <c r="B27" s="17" t="s">
        <v>26</v>
      </c>
      <c r="C27" s="24">
        <f>'Other Default Inputs'!C18</f>
        <v>1</v>
      </c>
      <c r="D27" s="11" t="s">
        <v>64</v>
      </c>
      <c r="E27" s="55" t="s">
        <v>102</v>
      </c>
    </row>
    <row r="28" spans="1:5" ht="30" x14ac:dyDescent="0.25">
      <c r="A28" s="54" t="s">
        <v>20</v>
      </c>
      <c r="B28" s="17" t="s">
        <v>7</v>
      </c>
      <c r="C28" s="96">
        <f>C26*C4</f>
        <v>1607.3999999999999</v>
      </c>
      <c r="D28" s="11" t="s">
        <v>61</v>
      </c>
      <c r="E28" s="74" t="s">
        <v>105</v>
      </c>
    </row>
    <row r="29" spans="1:5" ht="30" x14ac:dyDescent="0.25">
      <c r="A29" s="54" t="s">
        <v>20</v>
      </c>
      <c r="B29" s="17" t="s">
        <v>31</v>
      </c>
      <c r="C29" s="43">
        <f>(C28-C16)/C28</f>
        <v>0.57670772676371773</v>
      </c>
      <c r="D29" s="11" t="s">
        <v>64</v>
      </c>
      <c r="E29" s="74" t="s">
        <v>99</v>
      </c>
    </row>
    <row r="30" spans="1:5" ht="31.2" x14ac:dyDescent="0.25">
      <c r="A30" s="54" t="s">
        <v>20</v>
      </c>
      <c r="B30" s="41" t="s">
        <v>130</v>
      </c>
      <c r="C30" s="18">
        <v>0.14833333333333332</v>
      </c>
      <c r="D30" s="41" t="s">
        <v>64</v>
      </c>
      <c r="E30" s="57" t="s">
        <v>199</v>
      </c>
    </row>
    <row r="31" spans="1:5" ht="31.2" x14ac:dyDescent="0.25">
      <c r="A31" s="54" t="s">
        <v>20</v>
      </c>
      <c r="B31" s="41" t="s">
        <v>141</v>
      </c>
      <c r="C31" s="18">
        <v>0.27499999999999997</v>
      </c>
      <c r="D31" s="41" t="s">
        <v>64</v>
      </c>
      <c r="E31" s="57" t="s">
        <v>196</v>
      </c>
    </row>
    <row r="32" spans="1:5" ht="31.2" x14ac:dyDescent="0.25">
      <c r="A32" s="54" t="s">
        <v>20</v>
      </c>
      <c r="B32" s="41" t="s">
        <v>148</v>
      </c>
      <c r="C32" s="18">
        <v>0.7</v>
      </c>
      <c r="D32" s="41" t="s">
        <v>64</v>
      </c>
      <c r="E32" s="57" t="s">
        <v>196</v>
      </c>
    </row>
    <row r="33" spans="1:5" ht="90" x14ac:dyDescent="0.25">
      <c r="A33" s="54" t="s">
        <v>20</v>
      </c>
      <c r="B33" s="17" t="s">
        <v>131</v>
      </c>
      <c r="C33" s="39">
        <f>C$28*C$29*C30*C$27/C$4</f>
        <v>0.5132698768197087</v>
      </c>
      <c r="D33" s="11" t="s">
        <v>68</v>
      </c>
      <c r="E33" s="64" t="s">
        <v>142</v>
      </c>
    </row>
    <row r="34" spans="1:5" ht="30" x14ac:dyDescent="0.25">
      <c r="A34" s="54" t="s">
        <v>20</v>
      </c>
      <c r="B34" s="17" t="s">
        <v>123</v>
      </c>
      <c r="C34" s="39">
        <f>C$28*C$29*C31*C$27/C$4</f>
        <v>0.95156774916013409</v>
      </c>
      <c r="D34" s="11" t="s">
        <v>68</v>
      </c>
      <c r="E34" s="64" t="s">
        <v>197</v>
      </c>
    </row>
    <row r="35" spans="1:5" ht="30" x14ac:dyDescent="0.25">
      <c r="A35" s="54" t="s">
        <v>20</v>
      </c>
      <c r="B35" s="17" t="s">
        <v>124</v>
      </c>
      <c r="C35" s="42">
        <f>C$28*C$29*C32*C$27/C$4</f>
        <v>2.4221724524076143</v>
      </c>
      <c r="D35" s="11" t="s">
        <v>68</v>
      </c>
      <c r="E35" s="64" t="s">
        <v>197</v>
      </c>
    </row>
    <row r="36" spans="1:5" ht="30" x14ac:dyDescent="0.25">
      <c r="A36" s="54" t="s">
        <v>20</v>
      </c>
      <c r="B36" s="17" t="s">
        <v>23</v>
      </c>
      <c r="C36" s="42">
        <f>C10*C33+C11*C34+C12*C35</f>
        <v>1.599210526315789</v>
      </c>
      <c r="D36" s="11" t="s">
        <v>68</v>
      </c>
      <c r="E36" s="74" t="s">
        <v>107</v>
      </c>
    </row>
    <row r="37" spans="1:5" ht="31.2" x14ac:dyDescent="0.25">
      <c r="A37" s="54" t="s">
        <v>41</v>
      </c>
      <c r="B37" s="40" t="s">
        <v>132</v>
      </c>
      <c r="C37" s="7">
        <v>0</v>
      </c>
      <c r="D37" s="40" t="s">
        <v>74</v>
      </c>
      <c r="E37" s="59" t="s">
        <v>198</v>
      </c>
    </row>
    <row r="38" spans="1:5" ht="31.2" x14ac:dyDescent="0.25">
      <c r="A38" s="54" t="s">
        <v>41</v>
      </c>
      <c r="B38" s="40" t="s">
        <v>127</v>
      </c>
      <c r="C38" s="7">
        <v>0</v>
      </c>
      <c r="D38" s="40" t="s">
        <v>74</v>
      </c>
      <c r="E38" s="59" t="s">
        <v>200</v>
      </c>
    </row>
    <row r="39" spans="1:5" ht="31.2" x14ac:dyDescent="0.25">
      <c r="A39" s="54" t="s">
        <v>41</v>
      </c>
      <c r="B39" s="40" t="s">
        <v>125</v>
      </c>
      <c r="C39" s="7">
        <v>0</v>
      </c>
      <c r="D39" s="40" t="s">
        <v>74</v>
      </c>
      <c r="E39" s="59" t="s">
        <v>200</v>
      </c>
    </row>
    <row r="40" spans="1:5" ht="30" x14ac:dyDescent="0.25">
      <c r="A40" s="35" t="s">
        <v>41</v>
      </c>
      <c r="B40" s="63" t="s">
        <v>24</v>
      </c>
      <c r="C40" s="97">
        <f>C13*C37+C14*C38+C15*C39</f>
        <v>0</v>
      </c>
      <c r="D40" s="34" t="s">
        <v>72</v>
      </c>
      <c r="E40" s="17" t="s">
        <v>106</v>
      </c>
    </row>
  </sheetData>
  <sheetProtection algorithmName="SHA-512" hashValue="cZdy03W6zJzcoT9HsYJ3PjC9XA2zoZK6tu2NCQhTq4tM+fgj2Qlwvq4vSVUzic3TWAJBlYUMzPx70ncXHt0Fbg==" saltValue="7GI7p3jiLirDGGpFruZ+nQ==" spinCount="100000" sheet="1" objects="1" scenarios="1"/>
  <printOptions horizontalCentered="1"/>
  <pageMargins left="0.7" right="0.7" top="0.75" bottom="0.75" header="0.3" footer="0.3"/>
  <pageSetup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AFAD7B5E30FFC34FAA00DF25AFC8C7F9" ma:contentTypeVersion="1" ma:contentTypeDescription="Create a new document." ma:contentTypeScope="" ma:versionID="18cff7e2506630752521c365be877538">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74cda8d68a469f7aac180c2f7451b3c1"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2:News_x0020_Highlight" minOccurs="0"/>
                <xsd:element ref="ns2:Health_x0020_Aler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0"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1"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9a0f6eb7-bd68-4f59-97bd-9114eeb6b724" ma:termSetId="40e4449d-bf1d-4e80-8478-ecfbe04b300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9a0f6eb7-bd68-4f59-97bd-9114eeb6b724" ma:termSetId="32858045-b290-4c1a-9313-e286e63cb67e"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9a0f6eb7-bd68-4f59-97bd-9114eeb6b724" ma:termSetId="9545d098-3c3e-443d-a3cc-3f9ced564b10"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29;#English (United States)|8f67e8f0-30aa-4f55-b6ce-e3163530a2da" ma:fieldId="{e703b7d8-b628-4097-bcc8-d89d108ab72a}" ma:sspId="9a0f6eb7-bd68-4f59-97bd-9114eeb6b724" ma:termSetId="79a7d6ea-e7a5-4c3f-abf7-0b82a0b1b7b8" ma:anchorId="00000000-0000-0000-0000-000000000000" ma:open="false" ma:isKeyword="false">
      <xsd:complexType>
        <xsd:sequence>
          <xsd:element ref="pc:Terms" minOccurs="0" maxOccurs="1"/>
        </xsd:sequence>
      </xsd:complexType>
    </xsd:element>
    <xsd:element name="News_x0020_Highlight" ma:index="18" nillable="true" ma:displayName="News Highlight" ma:description="If checked, this page will be displayed in news highlight section " ma:internalName="News_x0020_Highlight">
      <xsd:simpleType>
        <xsd:restriction base="dms:Boolean"/>
      </xsd:simpleType>
    </xsd:element>
    <xsd:element name="Health_x0020_Alert" ma:index="19" nillable="true" ma:displayName="Health Alert" ma:description="If checked, this page will be displayed in health alert section" ma:internalName="Health_x0020_Aler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ews_x0020_Highlight xmlns="a48324c4-7d20-48d3-8188-32763737222b" xsi:nil="true"/>
    <off2d280d04f435e8ad65f64297220d7 xmlns="a48324c4-7d20-48d3-8188-32763737222b">
      <Terms xmlns="http://schemas.microsoft.com/office/infopath/2007/PartnerControls"/>
    </off2d280d04f435e8ad65f64297220d7>
    <Health_x0020_Alert xmlns="a48324c4-7d20-48d3-8188-32763737222b" xsi:nil="true"/>
    <TaxCatchAll xmlns="a48324c4-7d20-48d3-8188-32763737222b">
      <Value>241</Value>
      <Value>290</Value>
      <Value>288</Value>
      <Value>230</Value>
      <Value>489</Value>
      <Value>191</Value>
      <Value>124</Value>
      <Value>115</Value>
      <Value>114</Value>
      <Value>97</Value>
    </TaxCatchAll>
    <kcdf3820fa7642e8be4bb4902ce9671f xmlns="a48324c4-7d20-48d3-8188-32763737222b">
      <Terms xmlns="http://schemas.microsoft.com/office/infopath/2007/PartnerControls"/>
    </kcdf3820fa7642e8be4bb4902ce9671f>
    <bb1a85d7c91c4659b60f056ef7672151 xmlns="a48324c4-7d20-48d3-8188-32763737222b">
      <Terms xmlns="http://schemas.microsoft.com/office/infopath/2007/PartnerControls"/>
    </bb1a85d7c91c4659b60f056ef7672151>
    <e703b7d8b6284097bcc8d89d108ab72a xmlns="a48324c4-7d20-48d3-8188-32763737222b">
      <Terms xmlns="http://schemas.microsoft.com/office/infopath/2007/PartnerControls"/>
    </e703b7d8b6284097bcc8d89d108ab72a>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0E3965-66A4-456E-9205-05CC0D8E358F}"/>
</file>

<file path=customXml/itemProps2.xml><?xml version="1.0" encoding="utf-8"?>
<ds:datastoreItem xmlns:ds="http://schemas.openxmlformats.org/officeDocument/2006/customXml" ds:itemID="{E3398249-A4B5-4C9D-8D06-D9BD3BD0BD80}"/>
</file>

<file path=customXml/itemProps3.xml><?xml version="1.0" encoding="utf-8"?>
<ds:datastoreItem xmlns:ds="http://schemas.openxmlformats.org/officeDocument/2006/customXml" ds:itemID="{ACD31AFF-ADFC-46E8-B1D5-2236A0B729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Disclaimer</vt:lpstr>
      <vt:lpstr>Outputs Particle Removal ACH</vt:lpstr>
      <vt:lpstr>Outputs Relative Infection Risk</vt:lpstr>
      <vt:lpstr>Simplified User Inputs</vt:lpstr>
      <vt:lpstr>Other Default Inputs</vt:lpstr>
      <vt:lpstr>Other Calculations</vt:lpstr>
      <vt:lpstr>Simplified MERV Table </vt:lpstr>
      <vt:lpstr>Data Source for MERV Table</vt:lpstr>
      <vt:lpstr>Reference Case Definition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3 - Interactive model</dc:title>
  <dc:creator>CDPH</dc:creator>
  <cp:lastModifiedBy>Chen, Wenhao (CDPH-DEODC-EHLB)</cp:lastModifiedBy>
  <cp:lastPrinted>2020-06-12T22:22:24Z</cp:lastPrinted>
  <dcterms:created xsi:type="dcterms:W3CDTF">2019-07-16T20:39:31Z</dcterms:created>
  <dcterms:modified xsi:type="dcterms:W3CDTF">2021-07-28T18:37:54Z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0x0101002CC577673628EB48993F371F1850BF7D00AFAD7B5E30FFC34FAA00DF25AFC8C7F9</vt:lpwstr>
  </property>
  <property fmtid="{D5CDD505-2E9C-101B-9397-08002B2CF9AE}" pid="3" name="Order">
    <vt:r8>90100</vt:r8>
  </property>
  <property fmtid="{D5CDD505-2E9C-101B-9397-08002B2CF9AE}" pid="4" name="xd_ProgID">
    <vt:lpwstr/>
  </property>
  <property fmtid="{D5CDD505-2E9C-101B-9397-08002B2CF9AE}" pid="5" name="_CopySource">
    <vt:lpwstr>https://my.cdph.ca.gov/sites/ehlb/IAQ/Shared Documents/SARS-CoV-2/Interactive model with scenario analysis result-R1-071520.xlsx</vt:lpwstr>
  </property>
  <property fmtid="{D5CDD505-2E9C-101B-9397-08002B2CF9AE}" pid="6" name="TemplateUrl">
    <vt:lpwstr/>
  </property>
  <property fmtid="{D5CDD505-2E9C-101B-9397-08002B2CF9AE}" pid="8" name="Topic">
    <vt:lpwstr/>
  </property>
  <property fmtid="{D5CDD505-2E9C-101B-9397-08002B2CF9AE}" pid="9" name="CDPH Audience">
    <vt:lpwstr/>
  </property>
  <property fmtid="{D5CDD505-2E9C-101B-9397-08002B2CF9AE}" pid="10" name="Program">
    <vt:lpwstr/>
  </property>
</Properties>
</file>